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0.17\Instituto CRD\CONTRATACIÓN_Y_JURIDICA_IMCRD_2020-2027\CONTRATOS VIGENCIA 2024\"/>
    </mc:Choice>
  </mc:AlternateContent>
  <xr:revisionPtr revIDLastSave="0" documentId="13_ncr:1_{649ECAD8-0E53-4717-9B95-8E9984080171}" xr6:coauthVersionLast="47" xr6:coauthVersionMax="47" xr10:uidLastSave="{00000000-0000-0000-0000-000000000000}"/>
  <bookViews>
    <workbookView xWindow="-120" yWindow="-120" windowWidth="29040" windowHeight="15720" firstSheet="1" activeTab="3" xr2:uid="{32FB04D3-78CD-40C6-90D7-0FD07C0A699D}"/>
  </bookViews>
  <sheets>
    <sheet name="EJECUCION MENSUAL 2024-TRIMES 1" sheetId="1" r:id="rId1"/>
    <sheet name="EJECUCION MENSUAL 2024-TRIM 2" sheetId="2" r:id="rId2"/>
    <sheet name="EJECUCION MENSUAL 2024-TRIM 3" sheetId="3" r:id="rId3"/>
    <sheet name="EJECUCION MENSUAL 2024-TRIM 4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" i="5" l="1"/>
  <c r="R30" i="5"/>
  <c r="S30" i="5" s="1"/>
  <c r="Q28" i="5"/>
  <c r="R28" i="5" s="1"/>
  <c r="S28" i="5" s="1"/>
  <c r="P27" i="5"/>
  <c r="Q27" i="5" s="1"/>
  <c r="R27" i="5" s="1"/>
  <c r="P26" i="5"/>
  <c r="Q26" i="5" s="1"/>
  <c r="P25" i="5"/>
  <c r="Q25" i="5" s="1"/>
  <c r="R25" i="5" s="1"/>
  <c r="S25" i="5" s="1"/>
  <c r="T25" i="5" s="1"/>
  <c r="O24" i="5"/>
  <c r="P24" i="5" s="1"/>
  <c r="Q24" i="5" s="1"/>
  <c r="R24" i="5" s="1"/>
  <c r="O23" i="5"/>
  <c r="P23" i="5" s="1"/>
  <c r="Q23" i="5" s="1"/>
  <c r="R23" i="5" s="1"/>
  <c r="S23" i="5" s="1"/>
  <c r="O22" i="5"/>
  <c r="P22" i="5" s="1"/>
  <c r="Q22" i="5" s="1"/>
  <c r="R22" i="5" s="1"/>
  <c r="S22" i="5" s="1"/>
  <c r="N21" i="5"/>
  <c r="O21" i="5" s="1"/>
  <c r="P21" i="5" s="1"/>
  <c r="Q21" i="5" s="1"/>
  <c r="R21" i="5" s="1"/>
  <c r="M20" i="5"/>
  <c r="N20" i="5" s="1"/>
  <c r="O20" i="5" s="1"/>
  <c r="P20" i="5" s="1"/>
  <c r="Q20" i="5" s="1"/>
  <c r="R20" i="5" s="1"/>
  <c r="S20" i="5" s="1"/>
  <c r="M19" i="5"/>
  <c r="N19" i="5" s="1"/>
  <c r="O19" i="5" s="1"/>
  <c r="P19" i="5" s="1"/>
  <c r="Q19" i="5" s="1"/>
  <c r="R19" i="5" s="1"/>
  <c r="S19" i="5" s="1"/>
  <c r="M18" i="5"/>
  <c r="N18" i="5" s="1"/>
  <c r="O18" i="5" s="1"/>
  <c r="P18" i="5" s="1"/>
  <c r="Q18" i="5" s="1"/>
  <c r="R18" i="5" s="1"/>
  <c r="S18" i="5" s="1"/>
  <c r="N17" i="5"/>
  <c r="O17" i="5" s="1"/>
  <c r="P17" i="5" s="1"/>
  <c r="Q17" i="5" s="1"/>
  <c r="R17" i="5" s="1"/>
  <c r="S17" i="5" s="1"/>
  <c r="L17" i="5"/>
  <c r="L16" i="5"/>
  <c r="M16" i="5" s="1"/>
  <c r="N16" i="5" s="1"/>
  <c r="O16" i="5" s="1"/>
  <c r="P16" i="5" s="1"/>
  <c r="Q16" i="5" s="1"/>
  <c r="L15" i="5"/>
  <c r="M15" i="5" s="1"/>
  <c r="N15" i="5" s="1"/>
  <c r="O15" i="5" s="1"/>
  <c r="P15" i="5" s="1"/>
  <c r="Q15" i="5" s="1"/>
  <c r="R15" i="5" s="1"/>
  <c r="K14" i="5"/>
  <c r="L14" i="5" s="1"/>
  <c r="M14" i="5" s="1"/>
  <c r="N14" i="5" s="1"/>
  <c r="O14" i="5" s="1"/>
  <c r="P14" i="5" s="1"/>
  <c r="Q14" i="5" s="1"/>
  <c r="R14" i="5" s="1"/>
  <c r="S14" i="5" s="1"/>
  <c r="K13" i="5"/>
  <c r="L13" i="5" s="1"/>
  <c r="M13" i="5" s="1"/>
  <c r="N13" i="5" s="1"/>
  <c r="K12" i="5"/>
  <c r="L12" i="5" s="1"/>
  <c r="J11" i="5"/>
  <c r="K11" i="5" s="1"/>
  <c r="L11" i="5" s="1"/>
  <c r="M11" i="5" s="1"/>
  <c r="N11" i="5" s="1"/>
  <c r="O11" i="5" s="1"/>
  <c r="P11" i="5" s="1"/>
  <c r="Q11" i="5" s="1"/>
  <c r="R11" i="5" s="1"/>
  <c r="S11" i="5" s="1"/>
  <c r="J10" i="5"/>
  <c r="K10" i="5" s="1"/>
  <c r="L10" i="5" s="1"/>
  <c r="M10" i="5" s="1"/>
  <c r="N10" i="5" s="1"/>
  <c r="O10" i="5" s="1"/>
  <c r="P10" i="5" s="1"/>
  <c r="Q10" i="5" s="1"/>
  <c r="R10" i="5" s="1"/>
  <c r="J9" i="5"/>
  <c r="Q9" i="5" s="1"/>
  <c r="J8" i="5"/>
  <c r="S8" i="5" s="1"/>
  <c r="J7" i="5"/>
  <c r="S7" i="5" s="1"/>
  <c r="K5" i="5"/>
  <c r="J5" i="5"/>
  <c r="I5" i="5"/>
  <c r="N4" i="5"/>
  <c r="M4" i="5"/>
  <c r="L4" i="5"/>
  <c r="K4" i="5"/>
  <c r="J4" i="5"/>
  <c r="I4" i="5"/>
  <c r="Q28" i="3"/>
  <c r="R28" i="3" s="1"/>
  <c r="S28" i="3" s="1"/>
  <c r="P27" i="3"/>
  <c r="Q27" i="3" s="1"/>
  <c r="R27" i="3" s="1"/>
  <c r="P26" i="3"/>
  <c r="Q26" i="3" s="1"/>
  <c r="P25" i="3"/>
  <c r="Q25" i="3" s="1"/>
  <c r="R25" i="3" s="1"/>
  <c r="S25" i="3" s="1"/>
  <c r="T25" i="3" s="1"/>
  <c r="O24" i="3"/>
  <c r="P24" i="3" s="1"/>
  <c r="Q24" i="3" s="1"/>
  <c r="R24" i="3" s="1"/>
  <c r="O23" i="3"/>
  <c r="P23" i="3" s="1"/>
  <c r="Q23" i="3" s="1"/>
  <c r="R23" i="3" s="1"/>
  <c r="S23" i="3" s="1"/>
  <c r="O22" i="3"/>
  <c r="P22" i="3" s="1"/>
  <c r="Q22" i="3" s="1"/>
  <c r="R22" i="3" s="1"/>
  <c r="S22" i="3" s="1"/>
  <c r="N21" i="3"/>
  <c r="O21" i="3" s="1"/>
  <c r="P21" i="3" s="1"/>
  <c r="Q21" i="3" s="1"/>
  <c r="R21" i="3" s="1"/>
  <c r="N20" i="3"/>
  <c r="O20" i="3" s="1"/>
  <c r="P20" i="3" s="1"/>
  <c r="Q20" i="3" s="1"/>
  <c r="R20" i="3" s="1"/>
  <c r="S20" i="3" s="1"/>
  <c r="M20" i="3"/>
  <c r="M19" i="3"/>
  <c r="N19" i="3" s="1"/>
  <c r="O19" i="3" s="1"/>
  <c r="P19" i="3" s="1"/>
  <c r="Q19" i="3" s="1"/>
  <c r="R19" i="3" s="1"/>
  <c r="S19" i="3" s="1"/>
  <c r="M18" i="3"/>
  <c r="N18" i="3" s="1"/>
  <c r="O18" i="3" s="1"/>
  <c r="P18" i="3" s="1"/>
  <c r="Q18" i="3" s="1"/>
  <c r="R18" i="3" s="1"/>
  <c r="S18" i="3" s="1"/>
  <c r="N17" i="3"/>
  <c r="O17" i="3" s="1"/>
  <c r="P17" i="3" s="1"/>
  <c r="Q17" i="3" s="1"/>
  <c r="R17" i="3" s="1"/>
  <c r="S17" i="3" s="1"/>
  <c r="L17" i="3"/>
  <c r="L16" i="3"/>
  <c r="M16" i="3" s="1"/>
  <c r="N16" i="3" s="1"/>
  <c r="O16" i="3" s="1"/>
  <c r="P16" i="3" s="1"/>
  <c r="Q16" i="3" s="1"/>
  <c r="L15" i="3"/>
  <c r="M15" i="3" s="1"/>
  <c r="N15" i="3" s="1"/>
  <c r="O15" i="3" s="1"/>
  <c r="P15" i="3" s="1"/>
  <c r="Q15" i="3" s="1"/>
  <c r="R15" i="3" s="1"/>
  <c r="K14" i="3"/>
  <c r="L14" i="3" s="1"/>
  <c r="M14" i="3" s="1"/>
  <c r="N14" i="3" s="1"/>
  <c r="O14" i="3" s="1"/>
  <c r="P14" i="3" s="1"/>
  <c r="Q14" i="3" s="1"/>
  <c r="R14" i="3" s="1"/>
  <c r="S14" i="3" s="1"/>
  <c r="K13" i="3"/>
  <c r="L13" i="3" s="1"/>
  <c r="M13" i="3" s="1"/>
  <c r="N13" i="3" s="1"/>
  <c r="Q12" i="3"/>
  <c r="P12" i="3"/>
  <c r="O12" i="3"/>
  <c r="N12" i="3"/>
  <c r="K12" i="3"/>
  <c r="M12" i="3" s="1"/>
  <c r="J11" i="3"/>
  <c r="K11" i="3" s="1"/>
  <c r="L11" i="3" s="1"/>
  <c r="M11" i="3" s="1"/>
  <c r="N11" i="3" s="1"/>
  <c r="O11" i="3" s="1"/>
  <c r="P11" i="3" s="1"/>
  <c r="Q11" i="3" s="1"/>
  <c r="R11" i="3" s="1"/>
  <c r="S11" i="3" s="1"/>
  <c r="J10" i="3"/>
  <c r="K10" i="3" s="1"/>
  <c r="L10" i="3" s="1"/>
  <c r="M10" i="3" s="1"/>
  <c r="N10" i="3" s="1"/>
  <c r="O10" i="3" s="1"/>
  <c r="P10" i="3" s="1"/>
  <c r="Q10" i="3" s="1"/>
  <c r="R10" i="3" s="1"/>
  <c r="S10" i="3" s="1"/>
  <c r="S9" i="3"/>
  <c r="Q9" i="3"/>
  <c r="P9" i="3"/>
  <c r="N9" i="3"/>
  <c r="M9" i="3"/>
  <c r="L9" i="3"/>
  <c r="K9" i="3"/>
  <c r="J9" i="3"/>
  <c r="R9" i="3" s="1"/>
  <c r="P8" i="3"/>
  <c r="O8" i="3"/>
  <c r="N8" i="3"/>
  <c r="M8" i="3"/>
  <c r="J8" i="3"/>
  <c r="L8" i="3" s="1"/>
  <c r="R7" i="3"/>
  <c r="Q7" i="3"/>
  <c r="P7" i="3"/>
  <c r="O7" i="3"/>
  <c r="J7" i="3"/>
  <c r="N7" i="3" s="1"/>
  <c r="T5" i="3"/>
  <c r="S5" i="3"/>
  <c r="R5" i="3"/>
  <c r="L5" i="3"/>
  <c r="K5" i="3"/>
  <c r="J5" i="3"/>
  <c r="I5" i="3"/>
  <c r="S4" i="3"/>
  <c r="T4" i="3" s="1"/>
  <c r="O4" i="3"/>
  <c r="N4" i="3"/>
  <c r="M4" i="3"/>
  <c r="L4" i="3"/>
  <c r="K4" i="3"/>
  <c r="J4" i="3"/>
  <c r="I4" i="3"/>
  <c r="O7" i="5" l="1"/>
  <c r="P7" i="5"/>
  <c r="Q7" i="5"/>
  <c r="M12" i="5"/>
  <c r="R8" i="5"/>
  <c r="N12" i="5"/>
  <c r="L7" i="5"/>
  <c r="M7" i="5"/>
  <c r="N7" i="5"/>
  <c r="L8" i="5"/>
  <c r="R9" i="5"/>
  <c r="M8" i="5"/>
  <c r="S9" i="5"/>
  <c r="N8" i="5"/>
  <c r="L9" i="5"/>
  <c r="O12" i="5"/>
  <c r="O8" i="5"/>
  <c r="P12" i="5"/>
  <c r="R7" i="5"/>
  <c r="P8" i="5"/>
  <c r="N9" i="5"/>
  <c r="Q12" i="5"/>
  <c r="K9" i="5"/>
  <c r="M9" i="5"/>
  <c r="K7" i="5"/>
  <c r="Q8" i="5"/>
  <c r="O9" i="5"/>
  <c r="R12" i="5"/>
  <c r="P9" i="5"/>
  <c r="K8" i="5"/>
  <c r="K7" i="3"/>
  <c r="S7" i="3"/>
  <c r="Q8" i="3"/>
  <c r="O9" i="3"/>
  <c r="R12" i="3"/>
  <c r="R8" i="3"/>
  <c r="M7" i="3"/>
  <c r="K8" i="3"/>
  <c r="S8" i="3"/>
  <c r="L12" i="3"/>
  <c r="L7" i="3"/>
  <c r="O21" i="2" l="1"/>
  <c r="P21" i="2" s="1"/>
  <c r="Q21" i="2" s="1"/>
  <c r="R21" i="2" s="1"/>
  <c r="S21" i="2" s="1"/>
  <c r="N20" i="2"/>
  <c r="O20" i="2" s="1"/>
  <c r="P20" i="2" s="1"/>
  <c r="Q20" i="2" s="1"/>
  <c r="R20" i="2" s="1"/>
  <c r="S20" i="2" s="1"/>
  <c r="T20" i="2" s="1"/>
  <c r="N19" i="2"/>
  <c r="O19" i="2" s="1"/>
  <c r="P19" i="2" s="1"/>
  <c r="Q19" i="2" s="1"/>
  <c r="R19" i="2" s="1"/>
  <c r="S19" i="2" s="1"/>
  <c r="T19" i="2" s="1"/>
  <c r="N18" i="2"/>
  <c r="O18" i="2" s="1"/>
  <c r="P18" i="2" s="1"/>
  <c r="Q18" i="2" s="1"/>
  <c r="R18" i="2" s="1"/>
  <c r="S18" i="2" s="1"/>
  <c r="T18" i="2" s="1"/>
  <c r="P17" i="2"/>
  <c r="Q17" i="2" s="1"/>
  <c r="R17" i="2" s="1"/>
  <c r="S17" i="2" s="1"/>
  <c r="T17" i="2" s="1"/>
  <c r="O17" i="2"/>
  <c r="M17" i="2"/>
  <c r="M16" i="2"/>
  <c r="N16" i="2" s="1"/>
  <c r="O16" i="2" s="1"/>
  <c r="P16" i="2" s="1"/>
  <c r="Q16" i="2" s="1"/>
  <c r="R16" i="2" s="1"/>
  <c r="M15" i="2"/>
  <c r="N15" i="2" s="1"/>
  <c r="O15" i="2" s="1"/>
  <c r="P15" i="2" s="1"/>
  <c r="Q15" i="2" s="1"/>
  <c r="R15" i="2" s="1"/>
  <c r="S15" i="2" s="1"/>
  <c r="L14" i="2"/>
  <c r="M14" i="2" s="1"/>
  <c r="N14" i="2" s="1"/>
  <c r="O14" i="2" s="1"/>
  <c r="P14" i="2" s="1"/>
  <c r="Q14" i="2" s="1"/>
  <c r="R14" i="2" s="1"/>
  <c r="S14" i="2" s="1"/>
  <c r="T14" i="2" s="1"/>
  <c r="L13" i="2"/>
  <c r="M13" i="2" s="1"/>
  <c r="N13" i="2" s="1"/>
  <c r="O13" i="2" s="1"/>
  <c r="S12" i="2"/>
  <c r="R12" i="2"/>
  <c r="Q12" i="2"/>
  <c r="P12" i="2"/>
  <c r="L12" i="2"/>
  <c r="O12" i="2" s="1"/>
  <c r="K11" i="2"/>
  <c r="L11" i="2" s="1"/>
  <c r="M11" i="2" s="1"/>
  <c r="N11" i="2" s="1"/>
  <c r="O11" i="2" s="1"/>
  <c r="P11" i="2" s="1"/>
  <c r="Q11" i="2" s="1"/>
  <c r="R11" i="2" s="1"/>
  <c r="S11" i="2" s="1"/>
  <c r="T11" i="2" s="1"/>
  <c r="K10" i="2"/>
  <c r="L10" i="2" s="1"/>
  <c r="M10" i="2" s="1"/>
  <c r="N10" i="2" s="1"/>
  <c r="O10" i="2" s="1"/>
  <c r="P10" i="2" s="1"/>
  <c r="Q10" i="2" s="1"/>
  <c r="R10" i="2" s="1"/>
  <c r="S10" i="2" s="1"/>
  <c r="T10" i="2" s="1"/>
  <c r="R9" i="2"/>
  <c r="Q9" i="2"/>
  <c r="P9" i="2"/>
  <c r="O9" i="2"/>
  <c r="N9" i="2"/>
  <c r="M9" i="2"/>
  <c r="K9" i="2"/>
  <c r="T9" i="2" s="1"/>
  <c r="R8" i="2"/>
  <c r="Q8" i="2"/>
  <c r="P8" i="2"/>
  <c r="O8" i="2"/>
  <c r="K8" i="2"/>
  <c r="N8" i="2" s="1"/>
  <c r="R7" i="2"/>
  <c r="Q7" i="2"/>
  <c r="K7" i="2"/>
  <c r="P7" i="2" s="1"/>
  <c r="U5" i="2"/>
  <c r="T5" i="2"/>
  <c r="S5" i="2"/>
  <c r="R5" i="2"/>
  <c r="Q5" i="2"/>
  <c r="P5" i="2"/>
  <c r="M5" i="2"/>
  <c r="L5" i="2"/>
  <c r="K5" i="2"/>
  <c r="J5" i="2"/>
  <c r="T4" i="2"/>
  <c r="U4" i="2" s="1"/>
  <c r="P4" i="2"/>
  <c r="O4" i="2"/>
  <c r="N4" i="2"/>
  <c r="M4" i="2"/>
  <c r="L4" i="2"/>
  <c r="K4" i="2"/>
  <c r="J4" i="2"/>
  <c r="S7" i="2" l="1"/>
  <c r="L7" i="2"/>
  <c r="T7" i="2"/>
  <c r="M7" i="2"/>
  <c r="S8" i="2"/>
  <c r="N7" i="2"/>
  <c r="L8" i="2"/>
  <c r="T8" i="2"/>
  <c r="M12" i="2"/>
  <c r="O7" i="2"/>
  <c r="M8" i="2"/>
  <c r="S9" i="2"/>
  <c r="N12" i="2"/>
  <c r="L9" i="2"/>
  <c r="K4" i="1"/>
  <c r="J4" i="1"/>
  <c r="I4" i="1"/>
  <c r="K5" i="1" l="1"/>
  <c r="J5" i="1"/>
  <c r="I5" i="1"/>
  <c r="J7" i="1"/>
  <c r="J8" i="1"/>
  <c r="J9" i="1"/>
  <c r="J10" i="1"/>
  <c r="K10" i="1" s="1"/>
  <c r="J11" i="1"/>
  <c r="K11" i="1" s="1"/>
  <c r="K12" i="1"/>
  <c r="K13" i="1"/>
  <c r="K14" i="1"/>
  <c r="K7" i="1" l="1"/>
  <c r="K9" i="1"/>
  <c r="K8" i="1"/>
</calcChain>
</file>

<file path=xl/sharedStrings.xml><?xml version="1.0" encoding="utf-8"?>
<sst xmlns="http://schemas.openxmlformats.org/spreadsheetml/2006/main" count="451" uniqueCount="164">
  <si>
    <t>Nueve (9) meses.</t>
  </si>
  <si>
    <t>PRESTACIÓN DE SERVICIOS PROFESIONALES BRINDANDO SOPORTE A LA CONSOLIDACIÓN CULTURAL DE ITAGÜÍ, A TRAVÉS DE ESTRATEGIAS DE FUNCIONAMIENTO, ESTRUCTURACIÓN, CONTROL, SEGUIMIENTO, FORTALECIMIENTO Y DIRECCIÓN DE LA BANDA SINFÓNICA CIUDAD DE ITAGÜÍ, A CARGO DE LA SUBGERENCIA DE CULTURA.</t>
  </si>
  <si>
    <t>GERMAN HERNANDEZ CASTRO</t>
  </si>
  <si>
    <t>ICRD-009-2024</t>
  </si>
  <si>
    <t>Once (11) días y cuatro (4) meses.</t>
  </si>
  <si>
    <t>PRESTAClON DE SERVICIOS DE APOYO A LA GESTION, MEDIANTE EVENTOS DE
PRESENTACIONES DE LAS EXPRESIONES ARTlSTICAS Y CULTURALES CON ENFASIS EN
FORMACI6N DE PUBLICOS Y DE MUESTRAS MUSICALES EN EL MARCO LA SEMANA
SANTA, A CARGO DE LA SUBGERENCIA DE CULTURA</t>
  </si>
  <si>
    <t>CORPORACIÓN LÍDRES AVANZANDO EN PAZ</t>
  </si>
  <si>
    <t xml:space="preserve">ICRD-008-2024 </t>
  </si>
  <si>
    <t>Ocho (8) meses.</t>
  </si>
  <si>
    <t xml:space="preserve">: IMPULSAR PROGRAMAS Y ACTIVIDADES ARTÍSTICO-CULTURALES DE INTERÉS PÚBLICO CONTEMPLADAS EN LOS PROGRAMAS Y PROYECTOS DE LA LÍNEA DE INVERSIÓN EN CULTURA “ITAGÜÍ CIUDAD CULTURAL DE ANTIOQUIA” O SU EQUIVALENTE EN EL PLAN DE DESARROLLO QUE SE ADOPTE PARA EL PERIODO 2024-2027 A FIN DE FOMENTAR Y PROMOCIONAR EL ARTE Y LA CULTURA EN EL MUNICIPIO, A TRAVÉS DE LA EJECUCIÓN DE ACCIONES ESTRATÉGICAS QUE PROMUEVAN LOS DERECHOS CULTURALES DE LA POBLACIÓN ITAGÜÍSEÑA DURANTE LA VIGENCIA 2024. </t>
  </si>
  <si>
    <t xml:space="preserve">CORPORACIÓN PARA LA EDUCACIÓN, CULTURA Y EMPRENDIMIENTO COMUNITARIO- KABABI </t>
  </si>
  <si>
    <t xml:space="preserve">ICRD-007-2024 </t>
  </si>
  <si>
    <t>Quince (15) días y Diez (10) meses.</t>
  </si>
  <si>
    <t>PRESTACIÓN DE SERVICIOS PROFESIONALES DE APOYO DIRIGIDO A LA GERENCIA  EN LAS ACCIONES DE RELACIONAMIENTO, INTERACCIÓN CON LA COMUNIDAD, Y DESARROLLO DE ESTRATEGIAS EN EVENTOS, ACTIVIDADES Y PROGRAMAS ARTÍSTICOS, CULTURALES Y DEPORTIVOS A CARGO DEL INSTITUTO MUNICIPAL DE CULTURA, RECREACIÓN Y DEPORTE DE ITAGÜÍ.</t>
  </si>
  <si>
    <t>CRISTIAN CAMILO MORALES IGLESIAS</t>
  </si>
  <si>
    <t>ICRD-006-2024</t>
  </si>
  <si>
    <t>Diez (10) meses y quince (15) dias.</t>
  </si>
  <si>
    <t>PRESTACIÓN DE SERVICIOS PROFESIONALES QUE PERMITAN LA PROMOCIÓN Y EL FOMENTO DEL DEPORTE EN TODAS SUS MANIFESTACIONES, ESTO ES, LA RECREACIÓN, EL APROVECHAMIENTO DEL TIEMPO LIBRE, EL OCIO, LA PROMOCIÓN DE ESTILOS DE VIDA SALUDABLES, LA GESTIÓN DE ESPACIOS DEPORTIVOS Y RECREATIVOS. A CARGO DEL INSTITUTO MUNICIPAL DE CULTURA, RECREACIÓN Y DEPORTE DE ITAGÜÍ DURANTE LA VIGENCIA 2024.</t>
  </si>
  <si>
    <t>CORPORACIÓN PARA EL DEPORTE, SALUD, INFANCIA Y FAMILIA “CORSALDEP”</t>
  </si>
  <si>
    <t>ICRD-005-2024</t>
  </si>
  <si>
    <t>Diez (10) meses y treinta (30) días</t>
  </si>
  <si>
    <t>PRESTACIÓN DE SERVICIOS DE APOYO A LA GESTIÓN BRINDANDO SOPORTE Y ASISTENCIA TÉCNICA EN LAS ACTIVIDADES ASOCIADAS A LOS PROCESOS, PROCEDIMIENTOS Y TRÁMITES DEL EJERCICIO FINANCIERO, CONTABLE, PRESUPUESTAL Y DE ACTIVOS A CARGO DE LA SUBGERENCIA ADMINISTRATIVA Y FINANCIERA DEL INSTITUTO MUNICIPAL DE CULTURA, RECREACIÓN Y DEPORTE DE ITAGÜÍ</t>
  </si>
  <si>
    <t>JULIO CESAR JIMINEZ URAN</t>
  </si>
  <si>
    <t>ICRD-004-2024</t>
  </si>
  <si>
    <t>PRESTACIÓN DE SERVICIOS PROFESIONALES DE ASESORÍA, APOYO Y SOPORTE TÉCNICO EN LA GESTIÓN ADMINISTRATIVA DIRIGIDA A LA ADOPCIÓN, SEGUIMIENTO Y CONTROL DEL PLAN ESTRATÉGICO INSTITUCIONAL Y LOS DEMÁS PROYECTOS DELEGADOS A CARGO DEL INSTITUTO MUNICIPAL DE CULTURA, RECREACIÓN Y DEPORTE DE ITAGÜÍ.</t>
  </si>
  <si>
    <t>JUAN CAMILO TAMAYO FLÓREZ</t>
  </si>
  <si>
    <t>ICRD-003-2024</t>
  </si>
  <si>
    <t>PRESTACION DE SERVICIOS PROFESIONALES PARA BRINDAR ASESORIA Y ACOMPAÑAMIENTO, EN EL FORTALECIMIENTO DE LOS PROCESOS DE AUDITORIA INTERNA Y CONTROL INTERNO, APOYANDO LA CONTINUIDAD Y CORRECTA APLICACIÓN DE LOS PROCESOS ADMINISTRATIVOS A CARGO DE LA GERENCIA.</t>
  </si>
  <si>
    <t>CRISTIAN CASTILLEJO GUISAO</t>
  </si>
  <si>
    <t>ICRD-002-2024</t>
  </si>
  <si>
    <t>20 días</t>
  </si>
  <si>
    <t>PRESTACIÓN DE SERVICIOS DE APOYO A LA GESTIÓN EN ACTIVIDADES DE PROMOCIÓN Y FOMENTO DEPORTIVO QUE PERMITA LA PARTICIPACIÓN DE DEPORTISTAS ITAGUISEÑOS EN EL EVENTO INSTITUCIONAL FESTIVAL DE FESTIVALES A CARGO DEL INSTITUTO MUNICIPAL DE CULTURA, RECREACIÓN Y DEPORTE DE ITAGÜÍ.</t>
  </si>
  <si>
    <t>ICRD-001-2024</t>
  </si>
  <si>
    <t>% MARZO</t>
  </si>
  <si>
    <t>% FEBRERO</t>
  </si>
  <si>
    <t>% ENERO</t>
  </si>
  <si>
    <t>UNIDAD DE MEDIDA TIEMPO</t>
  </si>
  <si>
    <t>FECHA DE TERMINACIÓN</t>
  </si>
  <si>
    <t>FECHA DE INICIO</t>
  </si>
  <si>
    <t>FECHA SUSCRIPCION CONTRATO/CONVENIO</t>
  </si>
  <si>
    <t>PLAZO</t>
  </si>
  <si>
    <t>VALOR</t>
  </si>
  <si>
    <t>OBJETO DEL CONTRATO/CONVENIO</t>
  </si>
  <si>
    <t>CONTRATISTA</t>
  </si>
  <si>
    <t>CONTRATO CONSECUTIVO</t>
  </si>
  <si>
    <t>ICRD-026-2023</t>
  </si>
  <si>
    <t>ASEGURADORA SOLIDARIA DE COLOMBIA</t>
  </si>
  <si>
    <t>CONTRATAR EL PROGRAMA DE SEGUROS PARA AMPARAR AL INSTITUTO MUNICIPAL DE CULTURA, RECREACIÓN Y DEPORTE DE ITAGÜÍ POR LO QUE SEA O FUERE LEGALMENTE RESPONSABLE O LE CORRESPONDA ASEGURAR EN VIRTUD DE DISPOSICIÓN LEGAL O CONTRACTUAL.</t>
  </si>
  <si>
    <t>12 meses</t>
  </si>
  <si>
    <t>ICRD-031-2023</t>
  </si>
  <si>
    <t>EL EQUIPO DEL PUEBLO S.A</t>
  </si>
  <si>
    <t>PRESTACIÓN DE SERVICIOS PROFESIONALES PARA EL DESARROLLO DE ACTVIDADES EN FORMACIÓN DEPORTIVA Y SOCIAL EXTRAESCOLAR, A TRAVÉS DEL FÚTBOL FEMENINO ENCAMINADAS A LA INTERVENCIÓN ESPECIAL DE NIÑAS, ADOLESCENTES Y JOVENES ITAGUISEÑAS.</t>
  </si>
  <si>
    <t>Con las dos prorrogas: 7 meses</t>
  </si>
  <si>
    <t>Con las prorrogas:28-04-2024</t>
  </si>
  <si>
    <t>SUPERVISOR</t>
  </si>
  <si>
    <t>% ABRIL</t>
  </si>
  <si>
    <t>% MAYO</t>
  </si>
  <si>
    <t>% JUNIO</t>
  </si>
  <si>
    <t>JULIO</t>
  </si>
  <si>
    <t>AGOSTO</t>
  </si>
  <si>
    <t>SEPTIEMBRE</t>
  </si>
  <si>
    <t>OCTUBRE</t>
  </si>
  <si>
    <t>NOVIEMBRE</t>
  </si>
  <si>
    <t>DICIEMBRE</t>
  </si>
  <si>
    <t>ALEXANDER DE JESUS CARDONA ATHEORTUA</t>
  </si>
  <si>
    <t>Con las prorrogas: 7 meses</t>
  </si>
  <si>
    <t>JUAN CARLOS DE JESUS FRANCO</t>
  </si>
  <si>
    <t>JHON FERNANDO RESTREPO SANCHEZ</t>
  </si>
  <si>
    <t>JULIAN ESTEBAN ZAPATA ZAPATA</t>
  </si>
  <si>
    <t>JHON FERNANDO ARISMENDY ESPINOSA</t>
  </si>
  <si>
    <t>LILIANA MARIA MAYA GALLEGO</t>
  </si>
  <si>
    <t>LUIS MIGUEL VELEZ YARA</t>
  </si>
  <si>
    <t>ICRD-010-2024</t>
  </si>
  <si>
    <t>LEONES FUTBOL CLUB S.A</t>
  </si>
  <si>
    <t xml:space="preserve">PRESTACIÓN DE SERVICIOS PROFESIONALES PARA EL DESARROLLO DE ACTVIDADES Y ACCIONES, ENCAMINADAS A LA FORMACIÓN EN FÚTBOL Y EL BUEN USO DEL TIEMPO LIBRE, MEDIANTE INTERVENCIÓN EXTRAESCOLAR DIRIGIDA A NIÑOS, NIÑAS, ADOLESCENTES Y SUS FAMILIAS. </t>
  </si>
  <si>
    <t>JEISON NIEVES HERRERA</t>
  </si>
  <si>
    <t>ICRD-011-2024</t>
  </si>
  <si>
    <t>CORPORACION CREE EN MI</t>
  </si>
  <si>
    <t>PRESTACIÓN DE SERVICIOS PROFESIONALES CON ACTIVIDADES DE DEPORTE Y RECREACIÓN PARA LA CONVIVENCIA CIUDADANA INCLUYENTE, A TRAVÉS DE ACCIONES QUE PERMITAN LA FORMACIÓN DE PERSONAS CON DISCAPACIDAD, PREPARACIÓN FÍSICA, MENTAL E IMPLEMENTACIÓN DE MASOTERAPIA, MANEJO E HIGIENE POSTURAL.</t>
  </si>
  <si>
    <t>Siete  (7) meses.</t>
  </si>
  <si>
    <t>JUAN CARLOS DE JESUS FRANCO RESTREPO</t>
  </si>
  <si>
    <t>ICRD-012-2024</t>
  </si>
  <si>
    <t>FUNDACIÓN DIEGO ECHAVARRÍA MISAS CENTRO CULTURAL Y EDUCATIVO</t>
  </si>
  <si>
    <t xml:space="preserve">PRESTACIÓN DE SERVICIOS PROFESIONALES PARA EL DESARROLLO DE ACTIVIDADES DIRIGIDAS AL FORTALECIMIENTO DEL SISTEMA MUNICIPAL DE CULTURA, A TRAVÉS DE LOS SERVICIOS BIBLIOTECARIOS BRINDADOS A LA COMUNIDAD ITAGUISEÑA, A CARGO DE LA SUBGERENCIA DE CULTURA DEL INSTITUTO DE CULTURA, RECREACIÓN Y DEPORTE DE ITAGÜÍ. </t>
  </si>
  <si>
    <t>ICRD-013-2024</t>
  </si>
  <si>
    <t>MÓNICA ALEXANDRA MIRANDA AGUDELO</t>
  </si>
  <si>
    <t xml:space="preserve">PRESTACIÓN DE SERVICIOS PROFESIONALES DE ASESORÍA, APOYO Y SOPORTE TÉCNICO, A TRAVÉS DE ESTRATEGIAS PARA LA GESTIÓN INTEGRAL DE PLANES Y PROYECTOS CON EL OBJETIVO DE CONTINUAR CON EL FORTALECIMIENTO Y CONSOLIDACIÓN CULTURAL EN ITAGÜÍ, A CARGO DE LA SUBGERENCIA DE CULTURA. </t>
  </si>
  <si>
    <t>Treinta(30) días y siete meses.</t>
  </si>
  <si>
    <t>ICRD-014-2024</t>
  </si>
  <si>
    <t>LUIS FERNANDO URIBE CARDONA</t>
  </si>
  <si>
    <t xml:space="preserve">PRESTACIÓN DE SERVICIOS PROFESIONALES BRINDANDO SOPORTE EN LA INTERLOCUCIÓN, ASESORÍA Y ACOMPAÑAMIENTO EN EL FORTALECIMIENTO DEL SECTOR CULTURAL Y ARTÍSTICO DE LA CIUDAD, PARA EL FORTALECIMIENTO Y CONSOLIDACIÓN CULTURAL DE ITAGÜÍ A CARGO DE LA SUBGERENCIA DE CULTURA DEL INSTITUTO MUNICIPAL DE CULTURA, RECREACIÓN Y DEPORTE DE ITAGÜÍ. </t>
  </si>
  <si>
    <t>ICRD-015-2024</t>
  </si>
  <si>
    <t>JOHNNY MAURICIO MORENO AGUDELO</t>
  </si>
  <si>
    <t xml:space="preserve">PRESTACIÓN DE SERVICIOS PROFESIONALES ACOMPAÑANDO LOS EVENTOS DEPORTIVOS, Y BRINDANDO ASESORÍA A LA ESTRATEGIA DE MEDIOS DIGITALES E INFORMATIVOS PARA EL FOMENTO Y LA PARTICIPACIÓN DEL DEPORTE FORMATIVO, COMPETITIVO Y SOCIAL COMUNITARIO DE LA SUBGERENCIA DE FOMENTO DEPORTIVO Y ALTOS LOGROS. </t>
  </si>
  <si>
    <t>Veintinueve(29) días y siete meses.</t>
  </si>
  <si>
    <t>ANDRES FELIPE VARGAS RODAS</t>
  </si>
  <si>
    <t>ICRD-016-2024</t>
  </si>
  <si>
    <t>I+D GROUP EVENTOS , PROVISIONES Y DISTRIBUCIONES LA MAYORISTA</t>
  </si>
  <si>
    <t xml:space="preserve">PRESTACIÓN DE SERVICIOS DE APOYO A LA GESTIÓN, PARA LLEVAR A CABO LAS ACTIVIDADES LOGISTICAS, OPERATIVAS Y ORGANIZACIONALES DE LOS PLANES INSTITUCIONALES A CARGO DEL AREA DE TALENTO HUMANO, DIRIGIDOS A LOS SERVIDORES PUBLICOS DEL INSTITUTO MUNICIPAL DE CULTURA, RECREACIÓN Y DEPORTE DE ITAGÜÍ. </t>
  </si>
  <si>
    <t>Seis (6) meses.</t>
  </si>
  <si>
    <t>SOLANLLY BETANCUR GIL</t>
  </si>
  <si>
    <t>TRIMESTRE 4</t>
  </si>
  <si>
    <t>% JULIO</t>
  </si>
  <si>
    <t>% AGOSTO</t>
  </si>
  <si>
    <t>% SEPTIEMBRE</t>
  </si>
  <si>
    <t>Con la Segunda prorroga:28-04-2024</t>
  </si>
  <si>
    <t>ICRD-017-2024</t>
  </si>
  <si>
    <t>FREDY EMMANUEL ALVAREZ LONDOÑO</t>
  </si>
  <si>
    <t>PRESTACIÓN DE SERVICIOS PROFESIONALES DE MEDICO EN MEDICINA DEPORTIVA, BRINDANDO ACOMPAÑAMIENTO EN EL DESARROLLO FORMATIVO Y COMPETITIVO DE LOS DEPORTISTAS ITAGUISEÑOS.</t>
  </si>
  <si>
    <t>Veinticuatro (24) días y Cinco (05) meses.</t>
  </si>
  <si>
    <t>ICRD-018-2024</t>
  </si>
  <si>
    <t>PRESTACIÓN DE SERVICIOS PROFESIONALES DE ASESORÍA PARA LA GESTIÓN ADMINISTRATIVA DE SEGUIMIENTO Y CONTROL AL PLAN ESTRATÉGICO INSTITUCIONAL,  LOS PLANES DE GESTIÓN, LA ARTICULACIÓN INTERINSTITUCIONAL DE DESEMPEÑO, Y SOPORTE EN LOS DEMÁS PROYECTOS DELEGADOS A CARGO DEL INSTITUTO MUNICIPAL DE CULTURA, RECREACIÓN Y DEPORTE DE ITAGÜÍ.</t>
  </si>
  <si>
    <t>Quince (15) días y cinco (5) meses.</t>
  </si>
  <si>
    <t>ICRD-019-2024</t>
  </si>
  <si>
    <t>CORPORACIÓN LA TARTANA</t>
  </si>
  <si>
    <t xml:space="preserve">PRESTACIÓN DE SERVICIOS DE APOYO A LA GESTIÓN MEDIANTE PRESENTACIONES ARTISTICO CULTURALES A TRAVÉS DE LAS ARTES ESCENICAS, DIRIGIDAS  A LA CONSOLIDACIÓN DE LA CULTURA CIUDADANA SOSTENIBLE Y PARTICIPATIVA EN  EL MUNICIPIO DE ITAGÜÍ,  A CARGO DE LA SUBGERENCIA DE CULTURA. </t>
  </si>
  <si>
    <t>Cinco (5) meses.</t>
  </si>
  <si>
    <t>ICRD-020-2024</t>
  </si>
  <si>
    <t>ASEGURADORA SOLIDARIA DE COLOMBIA ENTIDAD COOPERATIVA</t>
  </si>
  <si>
    <t>$50.385.647</t>
  </si>
  <si>
    <t>Doce (12)  meses.</t>
  </si>
  <si>
    <t>ICRD-021-2024</t>
  </si>
  <si>
    <t>CONSTRUCCION COLECTIVA S.A.S.</t>
  </si>
  <si>
    <t>PRESTACIÓN DE SERVICIOS DE APOYO A LA GESTIÓN MEDIANTE ACTIVIDADES OPERATIVAS, LOGISTICAS Y ASISTENCIALES QUE PERMITAN EL DESARROLLO DE EVENTOS DE LA ACTIVIDAD FISICA Y RECREACIÓN PARA LA CONVIVENCIA CIUDADANA.</t>
  </si>
  <si>
    <t>$ 186.778.830</t>
  </si>
  <si>
    <t>Tres(3) Meses.</t>
  </si>
  <si>
    <t>ICRD-022-2024</t>
  </si>
  <si>
    <t>FUNDACION CONTRADANZA JUAN RUA</t>
  </si>
  <si>
    <t xml:space="preserve">PRESTACIÓN DE SERVICIOS DE APOYO A LA GESTIÓN PARA LLEVAR A CABO PRESENTACIONES ARTÍSTICAS DE LAS ARTES ESCÉNICAS COMO EL TEATRO MUSICAL, DANZA Y PERSONAJES DE FANTASÍA, QUE PERMITAN EL FORTALECIMIENTO DEL PROGRAMA FOMENTO PARA LAS ARTES, LAS PRÁCTICAS Y SABERES CULTURALES, A CARGO DE LA SUBGERENCIA DE CULTURA. </t>
  </si>
  <si>
    <t>Cuatro (4)  Meses.</t>
  </si>
  <si>
    <t>ICRD-023-2024</t>
  </si>
  <si>
    <t>HAROLD MENDEZ</t>
  </si>
  <si>
    <t>PRESTACIÓN DE SERVICIOS DE APOYO A LA GESTIÓN EN EL ACOMPAÑAMIENTO Y SOPORTE LOGÍSTICO, OPERATIVO Y ASISTENCIAL PARA LA REALIZACIÓN DE EVENTOS Y ACTIVIDADES DE PROMOCIÓN CULTURAL EN LAS DIFERENTES SEDES Y ESPACIOS CONVENCIONALES Y NO CONVENCIONALES DE LA CIUDAD A CARGO DE LA SUBGERENCIA DE CULTURA.</t>
  </si>
  <si>
    <t>Quince (15) días y tres (3) meses.</t>
  </si>
  <si>
    <t>ICRD-024-2024</t>
  </si>
  <si>
    <t xml:space="preserve">CORPORACIÓN SOMOS: ARTE Y CULTURA PARA ANTIOQUIA </t>
  </si>
  <si>
    <t xml:space="preserve">PRESTACIÓN DE SERVICIOS DE APOYO A LA GESTIÓN PARA SOPORTAR A LA ENTIDAD EN LA IMPLEMENTACIÓN DE PRÁCTICAS ARTÍSTICAS, FORMATIVAS Y CULTURALES EN EL MUNICIPIO DE ITAGÜÍ, A TRAVÉS DEL DESARROLLO DE ACTIVIDADES DE CARÁCTER CINEMATOGRÁFICO EN EL “7° FESTIVAL INTERNACIONAL DE CINE CIUDAD ITAGÜÍ, COLOMBIA: CINE BIEN HECHO, CINE NO VISTO -2024”, A CARGO DE LA SUBGERENCIA DE CULTURA. </t>
  </si>
  <si>
    <t>Quince (15) días.</t>
  </si>
  <si>
    <t>ENERO</t>
  </si>
  <si>
    <t>FEBRERO</t>
  </si>
  <si>
    <t>MARZO</t>
  </si>
  <si>
    <t>ABRIL</t>
  </si>
  <si>
    <t>MAYO</t>
  </si>
  <si>
    <t>JUNIO</t>
  </si>
  <si>
    <t>Ocho (8) meses. Se prorroga 10 días.</t>
  </si>
  <si>
    <t>Inicialmnente 20/11/2024.  Con la prorroga: 30/11/2024</t>
  </si>
  <si>
    <t>ICRD-025-2024</t>
  </si>
  <si>
    <t>EVENTOS PROVISIONES Y DISTRIBUCIONES LA MAYORISTA S.A.S (SIGLA: I+D GROUP)</t>
  </si>
  <si>
    <t xml:space="preserve">PRESTACIÓN DE SERVICIOS DE APOYO A LA GESTIÓN, MEDIANTE LA REALIZACIÓN DE ACTIVIDADES LOGISTICAS, OPERATIVAS Y ASISTENCIALES EN EL MARCO DEL DESARROLLO DE LOS JUEGOS DEL SERVIDOR PÚBLICO DE ITAGÜÍ 2024. </t>
  </si>
  <si>
    <t>Dos (2) meses y diez (10) días.</t>
  </si>
  <si>
    <t>ICRD-026-2024</t>
  </si>
  <si>
    <t xml:space="preserve">FUNDACIÓN FESLIC </t>
  </si>
  <si>
    <t xml:space="preserve">PRESTACIÓN DE SERVICIOS DE APOYO A LA GESTIÓN, MEDIANTE PRESENTACIONES ARTÍSTICO-CULTURALES EN LOS EVENTOS ENMARCADOS EN LA QUINTA VERSIÓN DEL FESTIVAL DEL LIBRO Y LA CULTURA DE LA CIUDAD DE ITAGÜÍ - FESTILIBRO, A CARGO DE LA SUBGERENCIA DE CULTURA DEL INSTITUTO MUNICIPAL DE CULTURA, RECREACIÓN Y DEPORTE DE ITAGÜÍ. </t>
  </si>
  <si>
    <t>Un (1) mes.</t>
  </si>
  <si>
    <t>ICRD-027-2024</t>
  </si>
  <si>
    <t>PRESTACIÓN DE SERVICIOS DE APOYO A LA GESTIÓN PARA LLEVAR A CABO PRESENTACIONES ARTISTICO CULTURALES EN ARTES ESCENICAS ALUSIVAS A LA NAVIDAD PARA TODOS, A TRAVÉS DEL TEATRO MUSICAL, DANZA Y PERSONAJES DE FANTASÍA, EN EL MARCO DEL PROGRAMA “FOMENTO PARA LAS ARTES, LAS PRÁCTICAS Y SABERES CULTURALES” A CARGO DE LA SUBGERENCIA DE CULTURA.</t>
  </si>
  <si>
    <t>Veinte (20) días calendario.</t>
  </si>
  <si>
    <t>ICRD-028-2024</t>
  </si>
  <si>
    <t>CORPORACIÓN LIDERES AVANZANDO EN PAZ</t>
  </si>
  <si>
    <t>PRESTACIÓN DE SERVICIOS DE APOYO A LA GESTIÓN, MEDIANTE PRESENTACIONES ARTÍSTICO CULTURALES DIRIGIDAS AL PROGRAMA  FOMENTO PARA LAS ARTES, LAS PRÁCTICAS Y SABERES CULTURALES , A TRAVÉS DE LAS ARTES ESCENICAS (COMPARSAS) ALUSIVO A LA FANTASIA NAVIDEÑA, A CARGO DE LA SUBGERENCIA DE CULTURA DEL INSTITUTO DE CULTURA, RECREACIÓN Y DEPORTE DE ITAGÜÍ.</t>
  </si>
  <si>
    <t>100%</t>
  </si>
  <si>
    <t>95.72%</t>
  </si>
  <si>
    <t>EJECUCIÓN % DE AVANCE MENSUAL CON RESPECTO AL PLAZO EN TIEMPO DEL CONTRATO</t>
  </si>
  <si>
    <t>Inicialmente 26/12/2024.  Con la prorroga: 26/01/2025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</si>
</sst>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C0A]d\-mmm\-yy;@"/>
    <numFmt numFmtId="165" formatCode="[$$-240A]\ #,##0"/>
    <numFmt numFmtId="166" formatCode="_-[$$-240A]\ * #,##0_-;\-[$$-240A]\ * #,##0_-;_-[$$-240A]\ * &quot;-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16"/>
      <name val="Arial"/>
      <family val="2"/>
    </font>
    <font>
      <sz val="12"/>
      <color rgb="FF00000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/>
      <bottom style="thin">
        <color theme="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5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2" fontId="4" fillId="2" borderId="3" xfId="0" applyNumberFormat="1" applyFont="1" applyFill="1" applyBorder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164" fontId="4" fillId="0" borderId="3" xfId="0" applyNumberFormat="1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166" fontId="4" fillId="0" borderId="3" xfId="1" applyNumberFormat="1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166" fontId="4" fillId="0" borderId="6" xfId="1" applyNumberFormat="1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4" fillId="3" borderId="0" xfId="0" applyFont="1" applyFill="1" applyAlignment="1">
      <alignment horizontal="left" vertical="top"/>
    </xf>
    <xf numFmtId="2" fontId="4" fillId="2" borderId="3" xfId="0" applyNumberFormat="1" applyFont="1" applyFill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164" fontId="4" fillId="3" borderId="8" xfId="0" applyNumberFormat="1" applyFont="1" applyFill="1" applyBorder="1" applyAlignment="1">
      <alignment horizontal="left" vertical="top"/>
    </xf>
    <xf numFmtId="164" fontId="7" fillId="3" borderId="9" xfId="0" applyNumberFormat="1" applyFont="1" applyFill="1" applyBorder="1" applyAlignment="1">
      <alignment horizontal="left" vertical="top"/>
    </xf>
    <xf numFmtId="166" fontId="4" fillId="0" borderId="6" xfId="1" applyNumberFormat="1" applyFont="1" applyFill="1" applyBorder="1" applyAlignment="1">
      <alignment horizontal="left" vertical="top"/>
    </xf>
    <xf numFmtId="0" fontId="4" fillId="3" borderId="6" xfId="0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164" fontId="4" fillId="0" borderId="2" xfId="0" applyNumberFormat="1" applyFont="1" applyBorder="1" applyAlignment="1">
      <alignment horizontal="left" vertical="top"/>
    </xf>
    <xf numFmtId="164" fontId="4" fillId="0" borderId="3" xfId="0" applyNumberFormat="1" applyFont="1" applyBorder="1" applyAlignment="1">
      <alignment horizontal="left" vertical="top"/>
    </xf>
    <xf numFmtId="164" fontId="7" fillId="0" borderId="10" xfId="0" applyNumberFormat="1" applyFont="1" applyBorder="1" applyAlignment="1">
      <alignment horizontal="left" vertical="top"/>
    </xf>
    <xf numFmtId="166" fontId="4" fillId="0" borderId="3" xfId="1" applyNumberFormat="1" applyFont="1" applyFill="1" applyBorder="1" applyAlignment="1">
      <alignment horizontal="left" vertical="top"/>
    </xf>
    <xf numFmtId="164" fontId="4" fillId="0" borderId="8" xfId="0" applyNumberFormat="1" applyFont="1" applyBorder="1" applyAlignment="1">
      <alignment horizontal="left" vertical="top"/>
    </xf>
    <xf numFmtId="164" fontId="7" fillId="0" borderId="11" xfId="0" applyNumberFormat="1" applyFont="1" applyBorder="1" applyAlignment="1">
      <alignment horizontal="left" vertical="top"/>
    </xf>
    <xf numFmtId="0" fontId="4" fillId="0" borderId="1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/>
    </xf>
    <xf numFmtId="9" fontId="5" fillId="2" borderId="1" xfId="0" applyNumberFormat="1" applyFont="1" applyFill="1" applyBorder="1" applyAlignment="1">
      <alignment horizontal="left" vertical="top"/>
    </xf>
    <xf numFmtId="164" fontId="4" fillId="0" borderId="12" xfId="0" applyNumberFormat="1" applyFont="1" applyBorder="1" applyAlignment="1">
      <alignment horizontal="left" vertical="top"/>
    </xf>
    <xf numFmtId="164" fontId="4" fillId="0" borderId="10" xfId="0" applyNumberFormat="1" applyFont="1" applyBorder="1" applyAlignment="1">
      <alignment horizontal="left" vertical="top"/>
    </xf>
    <xf numFmtId="0" fontId="8" fillId="3" borderId="0" xfId="0" applyFont="1" applyFill="1"/>
    <xf numFmtId="0" fontId="8" fillId="2" borderId="3" xfId="0" applyFont="1" applyFill="1" applyBorder="1" applyAlignment="1">
      <alignment horizontal="center" wrapText="1"/>
    </xf>
    <xf numFmtId="0" fontId="8" fillId="0" borderId="0" xfId="0" applyFont="1"/>
    <xf numFmtId="0" fontId="4" fillId="0" borderId="3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6" fillId="0" borderId="0" xfId="0" applyFont="1" applyAlignment="1">
      <alignment vertical="top"/>
    </xf>
    <xf numFmtId="164" fontId="7" fillId="0" borderId="3" xfId="0" applyNumberFormat="1" applyFont="1" applyBorder="1" applyAlignment="1">
      <alignment horizontal="left" vertical="top"/>
    </xf>
    <xf numFmtId="0" fontId="4" fillId="0" borderId="3" xfId="0" applyFont="1" applyBorder="1" applyAlignment="1">
      <alignment vertical="top"/>
    </xf>
    <xf numFmtId="166" fontId="4" fillId="0" borderId="3" xfId="0" applyNumberFormat="1" applyFont="1" applyBorder="1" applyAlignment="1">
      <alignment vertical="top"/>
    </xf>
    <xf numFmtId="0" fontId="4" fillId="0" borderId="0" xfId="0" applyFont="1" applyAlignment="1">
      <alignment vertical="top"/>
    </xf>
    <xf numFmtId="166" fontId="4" fillId="0" borderId="6" xfId="0" applyNumberFormat="1" applyFont="1" applyBorder="1" applyAlignment="1">
      <alignment vertical="top"/>
    </xf>
    <xf numFmtId="164" fontId="4" fillId="0" borderId="18" xfId="0" applyNumberFormat="1" applyFont="1" applyBorder="1" applyAlignment="1">
      <alignment horizontal="left" vertical="top"/>
    </xf>
    <xf numFmtId="15" fontId="7" fillId="0" borderId="3" xfId="0" applyNumberFormat="1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/>
    </xf>
    <xf numFmtId="0" fontId="8" fillId="2" borderId="6" xfId="0" applyFont="1" applyFill="1" applyBorder="1" applyAlignment="1">
      <alignment horizontal="center" wrapText="1"/>
    </xf>
    <xf numFmtId="166" fontId="4" fillId="0" borderId="3" xfId="0" applyNumberFormat="1" applyFont="1" applyBorder="1" applyAlignment="1">
      <alignment vertical="top" wrapText="1"/>
    </xf>
    <xf numFmtId="2" fontId="4" fillId="0" borderId="3" xfId="0" applyNumberFormat="1" applyFont="1" applyBorder="1" applyAlignment="1">
      <alignment horizontal="left" vertical="top"/>
    </xf>
    <xf numFmtId="2" fontId="4" fillId="0" borderId="0" xfId="0" applyNumberFormat="1" applyFont="1" applyAlignment="1">
      <alignment vertical="top"/>
    </xf>
    <xf numFmtId="2" fontId="5" fillId="2" borderId="3" xfId="0" applyNumberFormat="1" applyFont="1" applyFill="1" applyBorder="1" applyAlignment="1">
      <alignment horizontal="left" vertical="top"/>
    </xf>
    <xf numFmtId="9" fontId="5" fillId="0" borderId="3" xfId="0" applyNumberFormat="1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166" fontId="4" fillId="0" borderId="4" xfId="1" applyNumberFormat="1" applyFont="1" applyFill="1" applyBorder="1" applyAlignment="1">
      <alignment horizontal="left" vertical="top"/>
    </xf>
    <xf numFmtId="0" fontId="4" fillId="0" borderId="1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164" fontId="7" fillId="0" borderId="22" xfId="0" applyNumberFormat="1" applyFont="1" applyBorder="1" applyAlignment="1">
      <alignment horizontal="left" vertical="top"/>
    </xf>
    <xf numFmtId="164" fontId="7" fillId="0" borderId="14" xfId="0" applyNumberFormat="1" applyFont="1" applyBorder="1" applyAlignment="1">
      <alignment horizontal="left" vertical="top"/>
    </xf>
    <xf numFmtId="164" fontId="4" fillId="3" borderId="23" xfId="0" applyNumberFormat="1" applyFont="1" applyFill="1" applyBorder="1" applyAlignment="1">
      <alignment horizontal="left" vertical="top"/>
    </xf>
    <xf numFmtId="2" fontId="4" fillId="0" borderId="4" xfId="0" applyNumberFormat="1" applyFont="1" applyBorder="1" applyAlignment="1">
      <alignment horizontal="left" vertical="top"/>
    </xf>
    <xf numFmtId="2" fontId="4" fillId="2" borderId="4" xfId="0" applyNumberFormat="1" applyFont="1" applyFill="1" applyBorder="1" applyAlignment="1">
      <alignment horizontal="left" vertical="top"/>
    </xf>
    <xf numFmtId="2" fontId="4" fillId="3" borderId="4" xfId="0" applyNumberFormat="1" applyFont="1" applyFill="1" applyBorder="1" applyAlignment="1">
      <alignment horizontal="left" vertical="top"/>
    </xf>
    <xf numFmtId="2" fontId="4" fillId="0" borderId="24" xfId="0" applyNumberFormat="1" applyFont="1" applyBorder="1" applyAlignment="1">
      <alignment horizontal="left" vertical="top"/>
    </xf>
    <xf numFmtId="9" fontId="5" fillId="4" borderId="1" xfId="0" applyNumberFormat="1" applyFont="1" applyFill="1" applyBorder="1" applyAlignment="1">
      <alignment horizontal="left" vertical="top"/>
    </xf>
    <xf numFmtId="0" fontId="4" fillId="0" borderId="1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2" fontId="4" fillId="3" borderId="3" xfId="0" applyNumberFormat="1" applyFont="1" applyFill="1" applyBorder="1" applyAlignment="1">
      <alignment horizontal="left" vertical="top"/>
    </xf>
    <xf numFmtId="2" fontId="4" fillId="0" borderId="2" xfId="0" applyNumberFormat="1" applyFont="1" applyBorder="1" applyAlignment="1">
      <alignment horizontal="left" vertical="top"/>
    </xf>
    <xf numFmtId="9" fontId="5" fillId="4" borderId="25" xfId="0" applyNumberFormat="1" applyFont="1" applyFill="1" applyBorder="1" applyAlignment="1">
      <alignment horizontal="left" vertical="top"/>
    </xf>
    <xf numFmtId="0" fontId="9" fillId="0" borderId="3" xfId="0" applyFont="1" applyBorder="1" applyAlignment="1">
      <alignment horizontal="left" vertical="top" wrapText="1"/>
    </xf>
    <xf numFmtId="164" fontId="4" fillId="3" borderId="2" xfId="0" applyNumberFormat="1" applyFont="1" applyFill="1" applyBorder="1" applyAlignment="1">
      <alignment horizontal="left" vertical="top"/>
    </xf>
    <xf numFmtId="2" fontId="4" fillId="0" borderId="8" xfId="0" applyNumberFormat="1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2" fontId="4" fillId="0" borderId="3" xfId="0" applyNumberFormat="1" applyFont="1" applyBorder="1" applyAlignment="1">
      <alignment horizontal="left" vertical="top" wrapText="1"/>
    </xf>
    <xf numFmtId="2" fontId="4" fillId="3" borderId="6" xfId="0" applyNumberFormat="1" applyFont="1" applyFill="1" applyBorder="1" applyAlignment="1">
      <alignment horizontal="left" vertical="top" wrapText="1"/>
    </xf>
    <xf numFmtId="2" fontId="4" fillId="3" borderId="3" xfId="0" applyNumberFormat="1" applyFont="1" applyFill="1" applyBorder="1" applyAlignment="1">
      <alignment horizontal="left" vertical="top" wrapText="1"/>
    </xf>
    <xf numFmtId="2" fontId="4" fillId="0" borderId="2" xfId="0" applyNumberFormat="1" applyFont="1" applyBorder="1" applyAlignment="1">
      <alignment horizontal="left" vertical="top" wrapText="1"/>
    </xf>
    <xf numFmtId="0" fontId="6" fillId="0" borderId="7" xfId="0" applyFont="1" applyBorder="1" applyAlignment="1">
      <alignment horizontal="left" wrapText="1"/>
    </xf>
    <xf numFmtId="9" fontId="5" fillId="4" borderId="26" xfId="0" applyNumberFormat="1" applyFont="1" applyFill="1" applyBorder="1" applyAlignment="1">
      <alignment horizontal="left" vertical="top"/>
    </xf>
    <xf numFmtId="2" fontId="4" fillId="0" borderId="6" xfId="0" applyNumberFormat="1" applyFont="1" applyBorder="1" applyAlignment="1">
      <alignment horizontal="left" vertical="top" wrapText="1"/>
    </xf>
    <xf numFmtId="2" fontId="4" fillId="2" borderId="6" xfId="0" applyNumberFormat="1" applyFont="1" applyFill="1" applyBorder="1" applyAlignment="1">
      <alignment horizontal="left" vertical="top" wrapText="1"/>
    </xf>
    <xf numFmtId="2" fontId="4" fillId="0" borderId="29" xfId="0" applyNumberFormat="1" applyFont="1" applyBorder="1" applyAlignment="1">
      <alignment horizontal="left" vertical="top" wrapText="1"/>
    </xf>
    <xf numFmtId="2" fontId="4" fillId="0" borderId="8" xfId="0" applyNumberFormat="1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164" fontId="4" fillId="2" borderId="3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left" wrapText="1"/>
    </xf>
    <xf numFmtId="9" fontId="5" fillId="4" borderId="32" xfId="0" applyNumberFormat="1" applyFont="1" applyFill="1" applyBorder="1" applyAlignment="1">
      <alignment horizontal="left" vertical="top"/>
    </xf>
    <xf numFmtId="164" fontId="4" fillId="2" borderId="3" xfId="0" applyNumberFormat="1" applyFont="1" applyFill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5" fillId="0" borderId="0" xfId="0" applyFont="1"/>
    <xf numFmtId="0" fontId="5" fillId="3" borderId="0" xfId="0" applyFont="1" applyFill="1"/>
    <xf numFmtId="0" fontId="5" fillId="2" borderId="30" xfId="0" applyFont="1" applyFill="1" applyBorder="1" applyAlignment="1">
      <alignment horizontal="center" wrapText="1"/>
    </xf>
    <xf numFmtId="0" fontId="5" fillId="2" borderId="32" xfId="0" applyFont="1" applyFill="1" applyBorder="1" applyAlignment="1">
      <alignment horizontal="center" wrapText="1"/>
    </xf>
    <xf numFmtId="0" fontId="5" fillId="2" borderId="37" xfId="0" applyFont="1" applyFill="1" applyBorder="1" applyAlignment="1">
      <alignment horizontal="center" wrapText="1"/>
    </xf>
    <xf numFmtId="0" fontId="5" fillId="2" borderId="38" xfId="0" applyFont="1" applyFill="1" applyBorder="1" applyAlignment="1">
      <alignment horizontal="center" wrapText="1"/>
    </xf>
    <xf numFmtId="0" fontId="5" fillId="3" borderId="38" xfId="0" applyFont="1" applyFill="1" applyBorder="1" applyAlignment="1">
      <alignment horizontal="center" wrapText="1"/>
    </xf>
    <xf numFmtId="0" fontId="5" fillId="3" borderId="32" xfId="0" applyFont="1" applyFill="1" applyBorder="1" applyAlignment="1">
      <alignment horizontal="center" wrapText="1"/>
    </xf>
    <xf numFmtId="0" fontId="5" fillId="3" borderId="37" xfId="0" applyFont="1" applyFill="1" applyBorder="1" applyAlignment="1">
      <alignment horizontal="center" wrapText="1"/>
    </xf>
    <xf numFmtId="2" fontId="4" fillId="0" borderId="3" xfId="0" applyNumberFormat="1" applyFont="1" applyBorder="1" applyAlignment="1">
      <alignment vertical="top"/>
    </xf>
    <xf numFmtId="1" fontId="5" fillId="3" borderId="3" xfId="0" applyNumberFormat="1" applyFont="1" applyFill="1" applyBorder="1" applyAlignment="1">
      <alignment horizontal="left" vertical="top"/>
    </xf>
    <xf numFmtId="166" fontId="4" fillId="0" borderId="3" xfId="1" applyNumberFormat="1" applyFont="1" applyFill="1" applyBorder="1" applyAlignment="1">
      <alignment vertical="top"/>
    </xf>
    <xf numFmtId="0" fontId="4" fillId="0" borderId="12" xfId="0" applyFont="1" applyBorder="1" applyAlignment="1">
      <alignment vertical="top"/>
    </xf>
    <xf numFmtId="164" fontId="7" fillId="0" borderId="3" xfId="0" applyNumberFormat="1" applyFont="1" applyBorder="1" applyAlignment="1">
      <alignment vertical="top"/>
    </xf>
    <xf numFmtId="164" fontId="4" fillId="0" borderId="11" xfId="0" applyNumberFormat="1" applyFont="1" applyBorder="1" applyAlignment="1">
      <alignment vertical="top"/>
    </xf>
    <xf numFmtId="164" fontId="4" fillId="0" borderId="12" xfId="0" applyNumberFormat="1" applyFont="1" applyBorder="1" applyAlignment="1">
      <alignment vertical="top"/>
    </xf>
    <xf numFmtId="9" fontId="5" fillId="0" borderId="39" xfId="0" applyNumberFormat="1" applyFont="1" applyBorder="1" applyAlignment="1">
      <alignment vertical="top"/>
    </xf>
    <xf numFmtId="0" fontId="4" fillId="0" borderId="12" xfId="0" applyFont="1" applyBorder="1" applyAlignment="1">
      <alignment vertical="top" wrapText="1"/>
    </xf>
    <xf numFmtId="164" fontId="7" fillId="0" borderId="11" xfId="0" applyNumberFormat="1" applyFont="1" applyBorder="1" applyAlignment="1">
      <alignment vertical="top"/>
    </xf>
    <xf numFmtId="164" fontId="4" fillId="0" borderId="8" xfId="0" applyNumberFormat="1" applyFont="1" applyBorder="1" applyAlignment="1">
      <alignment vertical="top"/>
    </xf>
    <xf numFmtId="0" fontId="4" fillId="0" borderId="4" xfId="0" applyFont="1" applyBorder="1" applyAlignment="1">
      <alignment vertical="top"/>
    </xf>
    <xf numFmtId="2" fontId="4" fillId="2" borderId="3" xfId="0" applyNumberFormat="1" applyFont="1" applyFill="1" applyBorder="1" applyAlignment="1">
      <alignment vertical="top"/>
    </xf>
    <xf numFmtId="9" fontId="5" fillId="4" borderId="3" xfId="0" applyNumberFormat="1" applyFont="1" applyFill="1" applyBorder="1" applyAlignment="1">
      <alignment vertical="top"/>
    </xf>
    <xf numFmtId="2" fontId="4" fillId="0" borderId="4" xfId="0" applyNumberFormat="1" applyFont="1" applyBorder="1" applyAlignment="1">
      <alignment vertical="top"/>
    </xf>
    <xf numFmtId="2" fontId="4" fillId="2" borderId="4" xfId="0" applyNumberFormat="1" applyFont="1" applyFill="1" applyBorder="1" applyAlignment="1">
      <alignment vertical="top"/>
    </xf>
    <xf numFmtId="2" fontId="4" fillId="0" borderId="24" xfId="0" applyNumberFormat="1" applyFont="1" applyBorder="1" applyAlignment="1">
      <alignment vertical="top"/>
    </xf>
    <xf numFmtId="9" fontId="5" fillId="4" borderId="1" xfId="0" applyNumberFormat="1" applyFont="1" applyFill="1" applyBorder="1" applyAlignment="1">
      <alignment vertical="top"/>
    </xf>
    <xf numFmtId="0" fontId="4" fillId="0" borderId="10" xfId="0" applyFont="1" applyBorder="1" applyAlignment="1">
      <alignment vertical="top" wrapText="1"/>
    </xf>
    <xf numFmtId="2" fontId="4" fillId="0" borderId="2" xfId="0" applyNumberFormat="1" applyFont="1" applyBorder="1" applyAlignment="1">
      <alignment vertical="top"/>
    </xf>
    <xf numFmtId="0" fontId="4" fillId="0" borderId="2" xfId="0" applyFont="1" applyBorder="1" applyAlignment="1">
      <alignment vertical="top" wrapText="1"/>
    </xf>
    <xf numFmtId="164" fontId="4" fillId="0" borderId="5" xfId="0" applyNumberFormat="1" applyFont="1" applyBorder="1" applyAlignment="1">
      <alignment vertical="top"/>
    </xf>
    <xf numFmtId="164" fontId="4" fillId="0" borderId="2" xfId="0" applyNumberFormat="1" applyFont="1" applyBorder="1" applyAlignment="1">
      <alignment vertical="top"/>
    </xf>
    <xf numFmtId="0" fontId="4" fillId="3" borderId="6" xfId="0" applyFont="1" applyFill="1" applyBorder="1" applyAlignment="1">
      <alignment vertical="top"/>
    </xf>
    <xf numFmtId="0" fontId="4" fillId="3" borderId="6" xfId="0" applyFont="1" applyFill="1" applyBorder="1" applyAlignment="1">
      <alignment vertical="top" wrapText="1"/>
    </xf>
    <xf numFmtId="166" fontId="4" fillId="0" borderId="6" xfId="1" applyNumberFormat="1" applyFont="1" applyFill="1" applyBorder="1" applyAlignment="1">
      <alignment vertical="top"/>
    </xf>
    <xf numFmtId="0" fontId="4" fillId="3" borderId="8" xfId="0" applyFont="1" applyFill="1" applyBorder="1" applyAlignment="1">
      <alignment vertical="top" wrapText="1"/>
    </xf>
    <xf numFmtId="164" fontId="7" fillId="3" borderId="3" xfId="0" applyNumberFormat="1" applyFont="1" applyFill="1" applyBorder="1" applyAlignment="1">
      <alignment vertical="top"/>
    </xf>
    <xf numFmtId="164" fontId="7" fillId="3" borderId="40" xfId="0" applyNumberFormat="1" applyFont="1" applyFill="1" applyBorder="1" applyAlignment="1">
      <alignment vertical="top"/>
    </xf>
    <xf numFmtId="164" fontId="4" fillId="3" borderId="8" xfId="0" applyNumberFormat="1" applyFont="1" applyFill="1" applyBorder="1" applyAlignment="1">
      <alignment vertical="top"/>
    </xf>
    <xf numFmtId="0" fontId="6" fillId="0" borderId="3" xfId="0" applyFont="1" applyBorder="1" applyAlignment="1">
      <alignment vertical="top"/>
    </xf>
    <xf numFmtId="2" fontId="4" fillId="0" borderId="8" xfId="0" applyNumberFormat="1" applyFont="1" applyBorder="1" applyAlignment="1">
      <alignment vertical="top"/>
    </xf>
    <xf numFmtId="0" fontId="4" fillId="3" borderId="0" xfId="0" applyFont="1" applyFill="1" applyAlignment="1">
      <alignment vertical="top"/>
    </xf>
    <xf numFmtId="166" fontId="4" fillId="0" borderId="6" xfId="1" applyNumberFormat="1" applyFont="1" applyFill="1" applyBorder="1" applyAlignment="1">
      <alignment vertical="top" wrapText="1"/>
    </xf>
    <xf numFmtId="164" fontId="4" fillId="0" borderId="3" xfId="0" applyNumberFormat="1" applyFont="1" applyBorder="1" applyAlignment="1">
      <alignment vertical="top" wrapText="1"/>
    </xf>
    <xf numFmtId="164" fontId="4" fillId="0" borderId="2" xfId="0" applyNumberFormat="1" applyFont="1" applyBorder="1" applyAlignment="1">
      <alignment vertical="top" wrapText="1"/>
    </xf>
    <xf numFmtId="2" fontId="4" fillId="0" borderId="3" xfId="0" applyNumberFormat="1" applyFont="1" applyBorder="1" applyAlignment="1">
      <alignment vertical="top" wrapText="1"/>
    </xf>
    <xf numFmtId="2" fontId="4" fillId="2" borderId="6" xfId="0" applyNumberFormat="1" applyFont="1" applyFill="1" applyBorder="1" applyAlignment="1">
      <alignment vertical="top" wrapText="1"/>
    </xf>
    <xf numFmtId="2" fontId="4" fillId="2" borderId="3" xfId="0" applyNumberFormat="1" applyFont="1" applyFill="1" applyBorder="1" applyAlignment="1">
      <alignment vertical="top" wrapText="1"/>
    </xf>
    <xf numFmtId="2" fontId="4" fillId="0" borderId="2" xfId="0" applyNumberFormat="1" applyFont="1" applyBorder="1" applyAlignment="1">
      <alignment vertical="top" wrapText="1"/>
    </xf>
    <xf numFmtId="9" fontId="5" fillId="4" borderId="25" xfId="0" applyNumberFormat="1" applyFont="1" applyFill="1" applyBorder="1" applyAlignment="1">
      <alignment vertical="top"/>
    </xf>
    <xf numFmtId="0" fontId="6" fillId="0" borderId="7" xfId="0" applyFont="1" applyBorder="1" applyAlignment="1">
      <alignment wrapText="1"/>
    </xf>
    <xf numFmtId="0" fontId="6" fillId="0" borderId="0" xfId="0" applyFont="1" applyAlignment="1">
      <alignment wrapText="1"/>
    </xf>
    <xf numFmtId="9" fontId="5" fillId="2" borderId="25" xfId="0" applyNumberFormat="1" applyFont="1" applyFill="1" applyBorder="1" applyAlignment="1">
      <alignment vertical="top"/>
    </xf>
    <xf numFmtId="0" fontId="4" fillId="0" borderId="0" xfId="0" applyFont="1" applyAlignment="1">
      <alignment vertical="top" wrapText="1"/>
    </xf>
    <xf numFmtId="166" fontId="4" fillId="0" borderId="3" xfId="1" applyNumberFormat="1" applyFont="1" applyFill="1" applyBorder="1" applyAlignment="1">
      <alignment vertical="top" wrapText="1"/>
    </xf>
    <xf numFmtId="2" fontId="4" fillId="0" borderId="6" xfId="0" applyNumberFormat="1" applyFont="1" applyBorder="1" applyAlignment="1">
      <alignment vertical="top" wrapText="1"/>
    </xf>
    <xf numFmtId="2" fontId="4" fillId="2" borderId="29" xfId="0" applyNumberFormat="1" applyFont="1" applyFill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2" fontId="4" fillId="2" borderId="2" xfId="0" applyNumberFormat="1" applyFont="1" applyFill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vertical="top"/>
    </xf>
    <xf numFmtId="9" fontId="5" fillId="4" borderId="32" xfId="0" applyNumberFormat="1" applyFont="1" applyFill="1" applyBorder="1" applyAlignment="1">
      <alignment vertical="top"/>
    </xf>
    <xf numFmtId="164" fontId="4" fillId="0" borderId="3" xfId="0" applyNumberFormat="1" applyFont="1" applyBorder="1" applyAlignment="1">
      <alignment vertical="top"/>
    </xf>
    <xf numFmtId="44" fontId="4" fillId="0" borderId="3" xfId="1" applyFont="1" applyBorder="1" applyAlignment="1">
      <alignment vertical="top" wrapText="1"/>
    </xf>
    <xf numFmtId="2" fontId="4" fillId="0" borderId="6" xfId="0" applyNumberFormat="1" applyFont="1" applyBorder="1" applyAlignment="1">
      <alignment vertical="top"/>
    </xf>
    <xf numFmtId="0" fontId="4" fillId="2" borderId="3" xfId="0" applyFont="1" applyFill="1" applyBorder="1" applyAlignment="1">
      <alignment vertical="top"/>
    </xf>
    <xf numFmtId="2" fontId="4" fillId="2" borderId="6" xfId="0" applyNumberFormat="1" applyFont="1" applyFill="1" applyBorder="1" applyAlignment="1">
      <alignment vertical="top"/>
    </xf>
    <xf numFmtId="0" fontId="6" fillId="0" borderId="0" xfId="0" applyFont="1"/>
    <xf numFmtId="0" fontId="6" fillId="0" borderId="0" xfId="0" applyFont="1" applyAlignment="1">
      <alignment vertical="center" wrapText="1"/>
    </xf>
    <xf numFmtId="165" fontId="6" fillId="0" borderId="0" xfId="0" applyNumberFormat="1" applyFont="1"/>
    <xf numFmtId="164" fontId="7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2" fontId="4" fillId="2" borderId="2" xfId="0" applyNumberFormat="1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2" fontId="4" fillId="3" borderId="6" xfId="0" applyNumberFormat="1" applyFont="1" applyFill="1" applyBorder="1" applyAlignment="1">
      <alignment horizontal="left" vertical="top"/>
    </xf>
    <xf numFmtId="2" fontId="4" fillId="3" borderId="2" xfId="0" applyNumberFormat="1" applyFont="1" applyFill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24" xfId="0" applyFont="1" applyBorder="1" applyAlignment="1">
      <alignment horizontal="left" vertical="top"/>
    </xf>
    <xf numFmtId="2" fontId="4" fillId="2" borderId="2" xfId="0" applyNumberFormat="1" applyFont="1" applyFill="1" applyBorder="1" applyAlignment="1">
      <alignment horizontal="left" vertical="top"/>
    </xf>
    <xf numFmtId="9" fontId="5" fillId="4" borderId="46" xfId="0" applyNumberFormat="1" applyFont="1" applyFill="1" applyBorder="1" applyAlignment="1">
      <alignment horizontal="left" vertical="top"/>
    </xf>
    <xf numFmtId="2" fontId="4" fillId="2" borderId="24" xfId="0" applyNumberFormat="1" applyFont="1" applyFill="1" applyBorder="1" applyAlignment="1">
      <alignment horizontal="left" vertical="top"/>
    </xf>
    <xf numFmtId="2" fontId="4" fillId="2" borderId="8" xfId="0" applyNumberFormat="1" applyFont="1" applyFill="1" applyBorder="1" applyAlignment="1">
      <alignment horizontal="left" vertical="top"/>
    </xf>
    <xf numFmtId="2" fontId="4" fillId="2" borderId="8" xfId="0" applyNumberFormat="1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44" fontId="4" fillId="0" borderId="3" xfId="1" applyFont="1" applyBorder="1" applyAlignment="1">
      <alignment horizontal="left" vertical="top" wrapText="1"/>
    </xf>
    <xf numFmtId="2" fontId="4" fillId="2" borderId="6" xfId="0" applyNumberFormat="1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/>
    </xf>
    <xf numFmtId="9" fontId="5" fillId="4" borderId="49" xfId="0" applyNumberFormat="1" applyFont="1" applyFill="1" applyBorder="1" applyAlignment="1">
      <alignment horizontal="left" vertical="top"/>
    </xf>
    <xf numFmtId="0" fontId="4" fillId="0" borderId="6" xfId="0" applyFont="1" applyBorder="1" applyAlignment="1">
      <alignment horizontal="left" vertical="top" wrapText="1"/>
    </xf>
    <xf numFmtId="164" fontId="4" fillId="0" borderId="6" xfId="0" applyNumberFormat="1" applyFont="1" applyBorder="1" applyAlignment="1">
      <alignment horizontal="left" vertical="top"/>
    </xf>
    <xf numFmtId="10" fontId="4" fillId="2" borderId="25" xfId="0" applyNumberFormat="1" applyFont="1" applyFill="1" applyBorder="1" applyAlignment="1">
      <alignment horizontal="left" vertical="top"/>
    </xf>
    <xf numFmtId="164" fontId="4" fillId="0" borderId="5" xfId="0" applyNumberFormat="1" applyFont="1" applyBorder="1" applyAlignment="1">
      <alignment horizontal="left" vertical="top"/>
    </xf>
    <xf numFmtId="164" fontId="7" fillId="3" borderId="40" xfId="0" applyNumberFormat="1" applyFont="1" applyFill="1" applyBorder="1" applyAlignment="1">
      <alignment horizontal="left" vertical="top"/>
    </xf>
    <xf numFmtId="164" fontId="7" fillId="0" borderId="9" xfId="0" applyNumberFormat="1" applyFont="1" applyBorder="1" applyAlignment="1">
      <alignment horizontal="left" vertical="top"/>
    </xf>
    <xf numFmtId="164" fontId="7" fillId="3" borderId="3" xfId="0" applyNumberFormat="1" applyFont="1" applyFill="1" applyBorder="1" applyAlignment="1">
      <alignment horizontal="left" vertical="top"/>
    </xf>
    <xf numFmtId="0" fontId="8" fillId="2" borderId="3" xfId="0" applyFont="1" applyFill="1" applyBorder="1" applyAlignment="1">
      <alignment horizont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164" fontId="8" fillId="2" borderId="10" xfId="0" applyNumberFormat="1" applyFont="1" applyFill="1" applyBorder="1" applyAlignment="1">
      <alignment horizontal="right" vertical="center" wrapText="1"/>
    </xf>
    <xf numFmtId="166" fontId="8" fillId="2" borderId="9" xfId="0" applyNumberFormat="1" applyFont="1" applyFill="1" applyBorder="1" applyAlignment="1">
      <alignment horizontal="center" vertical="center" wrapText="1"/>
    </xf>
    <xf numFmtId="166" fontId="8" fillId="2" borderId="15" xfId="0" applyNumberFormat="1" applyFont="1" applyFill="1" applyBorder="1" applyAlignment="1">
      <alignment horizontal="center" vertical="center" wrapText="1"/>
    </xf>
    <xf numFmtId="164" fontId="8" fillId="2" borderId="9" xfId="0" applyNumberFormat="1" applyFont="1" applyFill="1" applyBorder="1" applyAlignment="1">
      <alignment horizontal="right" vertical="center" wrapText="1"/>
    </xf>
    <xf numFmtId="164" fontId="8" fillId="2" borderId="14" xfId="0" applyNumberFormat="1" applyFont="1" applyFill="1" applyBorder="1" applyAlignment="1">
      <alignment horizontal="right" vertical="center" wrapText="1"/>
    </xf>
    <xf numFmtId="164" fontId="8" fillId="2" borderId="16" xfId="0" applyNumberFormat="1" applyFont="1" applyFill="1" applyBorder="1" applyAlignment="1">
      <alignment horizontal="right" vertical="center" wrapText="1"/>
    </xf>
    <xf numFmtId="164" fontId="8" fillId="2" borderId="13" xfId="0" applyNumberFormat="1" applyFont="1" applyFill="1" applyBorder="1" applyAlignment="1">
      <alignment horizontal="right" vertical="center" wrapText="1"/>
    </xf>
    <xf numFmtId="0" fontId="4" fillId="3" borderId="19" xfId="0" applyFont="1" applyFill="1" applyBorder="1" applyAlignment="1">
      <alignment horizontal="left" vertical="top"/>
    </xf>
    <xf numFmtId="0" fontId="4" fillId="3" borderId="7" xfId="0" applyFont="1" applyFill="1" applyBorder="1" applyAlignment="1">
      <alignment horizontal="left" vertical="top"/>
    </xf>
    <xf numFmtId="0" fontId="6" fillId="0" borderId="2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8" fillId="2" borderId="3" xfId="0" applyFont="1" applyFill="1" applyBorder="1" applyAlignment="1">
      <alignment horizontal="center"/>
    </xf>
    <xf numFmtId="0" fontId="4" fillId="0" borderId="18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wrapText="1"/>
    </xf>
    <xf numFmtId="0" fontId="4" fillId="0" borderId="18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9" fontId="5" fillId="4" borderId="30" xfId="0" applyNumberFormat="1" applyFont="1" applyFill="1" applyBorder="1" applyAlignment="1">
      <alignment horizontal="left" vertical="top"/>
    </xf>
    <xf numFmtId="0" fontId="5" fillId="4" borderId="26" xfId="0" applyFont="1" applyFill="1" applyBorder="1" applyAlignment="1">
      <alignment horizontal="left" vertical="top"/>
    </xf>
    <xf numFmtId="2" fontId="4" fillId="2" borderId="2" xfId="0" applyNumberFormat="1" applyFont="1" applyFill="1" applyBorder="1" applyAlignment="1">
      <alignment horizontal="left" vertical="top" wrapText="1"/>
    </xf>
    <xf numFmtId="2" fontId="4" fillId="2" borderId="5" xfId="0" applyNumberFormat="1" applyFont="1" applyFill="1" applyBorder="1" applyAlignment="1">
      <alignment horizontal="left" vertical="top" wrapText="1"/>
    </xf>
    <xf numFmtId="164" fontId="8" fillId="2" borderId="16" xfId="0" applyNumberFormat="1" applyFont="1" applyFill="1" applyBorder="1" applyAlignment="1">
      <alignment horizontal="center" vertical="center" wrapText="1"/>
    </xf>
    <xf numFmtId="164" fontId="8" fillId="2" borderId="21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top"/>
    </xf>
    <xf numFmtId="2" fontId="4" fillId="0" borderId="5" xfId="0" applyNumberFormat="1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/>
    </xf>
    <xf numFmtId="0" fontId="4" fillId="0" borderId="27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9" fontId="5" fillId="4" borderId="26" xfId="0" applyNumberFormat="1" applyFont="1" applyFill="1" applyBorder="1" applyAlignment="1">
      <alignment horizontal="left" vertical="top"/>
    </xf>
    <xf numFmtId="9" fontId="5" fillId="4" borderId="31" xfId="0" applyNumberFormat="1" applyFont="1" applyFill="1" applyBorder="1" applyAlignment="1">
      <alignment horizontal="left" vertical="top"/>
    </xf>
    <xf numFmtId="0" fontId="8" fillId="2" borderId="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166" fontId="8" fillId="2" borderId="20" xfId="0" applyNumberFormat="1" applyFont="1" applyFill="1" applyBorder="1" applyAlignment="1">
      <alignment horizontal="center" vertical="center" wrapText="1"/>
    </xf>
    <xf numFmtId="164" fontId="8" fillId="2" borderId="10" xfId="0" applyNumberFormat="1" applyFont="1" applyFill="1" applyBorder="1" applyAlignment="1">
      <alignment horizontal="center" vertical="center" wrapText="1"/>
    </xf>
    <xf numFmtId="164" fontId="8" fillId="2" borderId="9" xfId="0" applyNumberFormat="1" applyFont="1" applyFill="1" applyBorder="1" applyAlignment="1">
      <alignment horizontal="center" vertical="center" wrapText="1"/>
    </xf>
    <xf numFmtId="164" fontId="8" fillId="2" borderId="20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top"/>
    </xf>
    <xf numFmtId="0" fontId="4" fillId="0" borderId="18" xfId="0" applyFont="1" applyBorder="1" applyAlignment="1">
      <alignment vertical="top"/>
    </xf>
    <xf numFmtId="9" fontId="5" fillId="2" borderId="2" xfId="0" applyNumberFormat="1" applyFont="1" applyFill="1" applyBorder="1" applyAlignment="1">
      <alignment vertical="top"/>
    </xf>
    <xf numFmtId="9" fontId="5" fillId="2" borderId="18" xfId="0" applyNumberFormat="1" applyFont="1" applyFill="1" applyBorder="1" applyAlignment="1">
      <alignment vertical="top"/>
    </xf>
    <xf numFmtId="9" fontId="5" fillId="2" borderId="5" xfId="0" applyNumberFormat="1" applyFont="1" applyFill="1" applyBorder="1" applyAlignment="1">
      <alignment vertical="top"/>
    </xf>
    <xf numFmtId="9" fontId="5" fillId="4" borderId="30" xfId="0" applyNumberFormat="1" applyFont="1" applyFill="1" applyBorder="1" applyAlignment="1">
      <alignment vertical="top"/>
    </xf>
    <xf numFmtId="0" fontId="5" fillId="4" borderId="26" xfId="0" applyFont="1" applyFill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41" xfId="0" applyFont="1" applyBorder="1" applyAlignment="1">
      <alignment vertical="top"/>
    </xf>
    <xf numFmtId="0" fontId="4" fillId="0" borderId="42" xfId="0" applyFont="1" applyBorder="1" applyAlignment="1">
      <alignment vertical="top"/>
    </xf>
    <xf numFmtId="0" fontId="4" fillId="0" borderId="2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2" fontId="4" fillId="0" borderId="2" xfId="0" applyNumberFormat="1" applyFont="1" applyBorder="1" applyAlignment="1">
      <alignment vertical="top" wrapText="1"/>
    </xf>
    <xf numFmtId="2" fontId="4" fillId="0" borderId="5" xfId="0" applyNumberFormat="1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4" fillId="0" borderId="5" xfId="0" applyFont="1" applyBorder="1" applyAlignment="1">
      <alignment wrapText="1"/>
    </xf>
    <xf numFmtId="9" fontId="5" fillId="4" borderId="31" xfId="0" applyNumberFormat="1" applyFont="1" applyFill="1" applyBorder="1" applyAlignment="1">
      <alignment vertical="top"/>
    </xf>
    <xf numFmtId="0" fontId="5" fillId="2" borderId="30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/>
    </xf>
    <xf numFmtId="0" fontId="5" fillId="3" borderId="35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/>
    </xf>
    <xf numFmtId="1" fontId="5" fillId="3" borderId="3" xfId="0" applyNumberFormat="1" applyFont="1" applyFill="1" applyBorder="1" applyAlignment="1">
      <alignment horizontal="center" vertical="top"/>
    </xf>
    <xf numFmtId="2" fontId="4" fillId="3" borderId="3" xfId="0" applyNumberFormat="1" applyFont="1" applyFill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6" fillId="0" borderId="2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4" fillId="0" borderId="27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28" xfId="0" applyFont="1" applyBorder="1" applyAlignment="1">
      <alignment vertical="top" wrapText="1"/>
    </xf>
    <xf numFmtId="9" fontId="5" fillId="4" borderId="26" xfId="0" applyNumberFormat="1" applyFont="1" applyFill="1" applyBorder="1" applyAlignment="1">
      <alignment vertical="top"/>
    </xf>
    <xf numFmtId="0" fontId="5" fillId="2" borderId="17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 wrapText="1"/>
    </xf>
    <xf numFmtId="166" fontId="5" fillId="2" borderId="9" xfId="0" applyNumberFormat="1" applyFont="1" applyFill="1" applyBorder="1" applyAlignment="1">
      <alignment horizontal="center" vertical="center" wrapText="1"/>
    </xf>
    <xf numFmtId="166" fontId="5" fillId="2" borderId="15" xfId="0" applyNumberFormat="1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164" fontId="5" fillId="2" borderId="16" xfId="0" applyNumberFormat="1" applyFont="1" applyFill="1" applyBorder="1" applyAlignment="1">
      <alignment horizontal="center" vertical="center" wrapText="1"/>
    </xf>
    <xf numFmtId="164" fontId="5" fillId="2" borderId="13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left" vertical="top" wrapText="1"/>
    </xf>
    <xf numFmtId="2" fontId="4" fillId="0" borderId="5" xfId="0" applyNumberFormat="1" applyFont="1" applyBorder="1" applyAlignment="1">
      <alignment horizontal="left" vertical="top" wrapText="1"/>
    </xf>
    <xf numFmtId="0" fontId="5" fillId="2" borderId="43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0" borderId="4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5" fillId="2" borderId="3" xfId="0" applyFont="1" applyFill="1" applyBorder="1" applyAlignment="1">
      <alignment horizontal="center"/>
    </xf>
    <xf numFmtId="0" fontId="5" fillId="2" borderId="10" xfId="0" applyFont="1" applyFill="1" applyBorder="1" applyAlignment="1">
      <alignment vertical="center" wrapText="1"/>
    </xf>
    <xf numFmtId="0" fontId="6" fillId="0" borderId="0" xfId="0" applyFont="1" applyAlignment="1"/>
    <xf numFmtId="166" fontId="4" fillId="0" borderId="3" xfId="0" applyNumberFormat="1" applyFont="1" applyBorder="1" applyAlignment="1">
      <alignment horizontal="left" vertical="top"/>
    </xf>
    <xf numFmtId="9" fontId="5" fillId="4" borderId="44" xfId="0" applyNumberFormat="1" applyFont="1" applyFill="1" applyBorder="1" applyAlignment="1">
      <alignment horizontal="left" vertical="top" wrapText="1"/>
    </xf>
    <xf numFmtId="0" fontId="5" fillId="4" borderId="45" xfId="0" applyFont="1" applyFill="1" applyBorder="1" applyAlignment="1">
      <alignment horizontal="left" vertical="top" wrapText="1"/>
    </xf>
    <xf numFmtId="2" fontId="4" fillId="0" borderId="0" xfId="0" applyNumberFormat="1" applyFont="1" applyAlignment="1">
      <alignment horizontal="left" vertical="top"/>
    </xf>
    <xf numFmtId="166" fontId="4" fillId="0" borderId="6" xfId="0" applyNumberFormat="1" applyFont="1" applyBorder="1" applyAlignment="1">
      <alignment horizontal="left" vertical="top"/>
    </xf>
    <xf numFmtId="2" fontId="4" fillId="3" borderId="19" xfId="0" applyNumberFormat="1" applyFont="1" applyFill="1" applyBorder="1" applyAlignment="1">
      <alignment horizontal="left" vertical="top"/>
    </xf>
    <xf numFmtId="2" fontId="4" fillId="3" borderId="50" xfId="0" applyNumberFormat="1" applyFont="1" applyFill="1" applyBorder="1" applyAlignment="1">
      <alignment horizontal="left" vertical="top"/>
    </xf>
    <xf numFmtId="2" fontId="4" fillId="3" borderId="7" xfId="0" applyNumberFormat="1" applyFont="1" applyFill="1" applyBorder="1" applyAlignment="1">
      <alignment horizontal="left" vertical="top"/>
    </xf>
    <xf numFmtId="0" fontId="4" fillId="0" borderId="41" xfId="0" applyFont="1" applyBorder="1" applyAlignment="1">
      <alignment horizontal="left" vertical="top"/>
    </xf>
    <xf numFmtId="0" fontId="4" fillId="0" borderId="42" xfId="0" applyFont="1" applyBorder="1" applyAlignment="1">
      <alignment horizontal="left" vertical="top"/>
    </xf>
    <xf numFmtId="0" fontId="4" fillId="0" borderId="47" xfId="0" applyFont="1" applyBorder="1" applyAlignment="1">
      <alignment horizontal="left" vertical="top"/>
    </xf>
    <xf numFmtId="0" fontId="4" fillId="0" borderId="48" xfId="0" applyFont="1" applyBorder="1" applyAlignment="1">
      <alignment horizontal="left" vertical="top"/>
    </xf>
    <xf numFmtId="166" fontId="4" fillId="0" borderId="24" xfId="0" applyNumberFormat="1" applyFont="1" applyBorder="1" applyAlignment="1">
      <alignment horizontal="left" vertical="top" wrapText="1"/>
    </xf>
    <xf numFmtId="166" fontId="4" fillId="0" borderId="50" xfId="0" applyNumberFormat="1" applyFont="1" applyBorder="1" applyAlignment="1">
      <alignment horizontal="left" vertical="top" wrapText="1"/>
    </xf>
    <xf numFmtId="166" fontId="4" fillId="0" borderId="7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166" fontId="4" fillId="0" borderId="2" xfId="0" applyNumberFormat="1" applyFont="1" applyBorder="1" applyAlignment="1">
      <alignment horizontal="left" vertical="top" wrapText="1"/>
    </xf>
    <xf numFmtId="166" fontId="4" fillId="0" borderId="18" xfId="0" applyNumberFormat="1" applyFont="1" applyBorder="1" applyAlignment="1">
      <alignment horizontal="left" vertical="top" wrapText="1"/>
    </xf>
    <xf numFmtId="166" fontId="4" fillId="0" borderId="47" xfId="0" applyNumberFormat="1" applyFont="1" applyBorder="1" applyAlignment="1">
      <alignment horizontal="left" vertical="top" wrapText="1"/>
    </xf>
    <xf numFmtId="49" fontId="5" fillId="4" borderId="30" xfId="0" applyNumberFormat="1" applyFont="1" applyFill="1" applyBorder="1" applyAlignment="1">
      <alignment horizontal="left" vertical="top"/>
    </xf>
    <xf numFmtId="49" fontId="5" fillId="4" borderId="26" xfId="0" applyNumberFormat="1" applyFont="1" applyFill="1" applyBorder="1" applyAlignment="1">
      <alignment horizontal="left" vertical="top"/>
    </xf>
    <xf numFmtId="166" fontId="4" fillId="0" borderId="5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165" fontId="6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DA8C1-69AD-4B14-8FFA-9D0BA0037A6D}">
  <dimension ref="A1:GU23"/>
  <sheetViews>
    <sheetView zoomScale="66" zoomScaleNormal="66" workbookViewId="0">
      <selection activeCell="I1" sqref="I1:K1"/>
    </sheetView>
  </sheetViews>
  <sheetFormatPr baseColWidth="10" defaultRowHeight="14.25" x14ac:dyDescent="0.2"/>
  <cols>
    <col min="1" max="1" width="31" style="4" customWidth="1"/>
    <col min="2" max="2" width="34.140625" style="6" customWidth="1"/>
    <col min="3" max="3" width="76.5703125" style="1" customWidth="1"/>
    <col min="4" max="4" width="22.5703125" style="5" customWidth="1"/>
    <col min="5" max="5" width="18.85546875" style="4" customWidth="1"/>
    <col min="6" max="6" width="36.7109375" style="3" customWidth="1"/>
    <col min="7" max="7" width="21.5703125" style="2" customWidth="1"/>
    <col min="8" max="8" width="35.140625" style="2" customWidth="1"/>
    <col min="9" max="9" width="36.140625" style="1" customWidth="1"/>
    <col min="10" max="10" width="31" style="1" customWidth="1"/>
    <col min="11" max="11" width="47" style="1" customWidth="1"/>
    <col min="12" max="16384" width="11.42578125" style="1"/>
  </cols>
  <sheetData>
    <row r="1" spans="1:203" s="44" customFormat="1" ht="46.5" customHeight="1" x14ac:dyDescent="0.3">
      <c r="A1" s="211"/>
      <c r="B1" s="211"/>
      <c r="C1" s="211"/>
      <c r="D1" s="211"/>
      <c r="E1" s="211"/>
      <c r="F1" s="211"/>
      <c r="G1" s="211"/>
      <c r="H1" s="211"/>
      <c r="I1" s="210" t="s">
        <v>162</v>
      </c>
      <c r="J1" s="210"/>
      <c r="K1" s="210"/>
    </row>
    <row r="2" spans="1:203" s="42" customFormat="1" ht="28.5" customHeight="1" x14ac:dyDescent="0.3">
      <c r="A2" s="212" t="s">
        <v>44</v>
      </c>
      <c r="B2" s="212" t="s">
        <v>43</v>
      </c>
      <c r="C2" s="212" t="s">
        <v>42</v>
      </c>
      <c r="D2" s="214" t="s">
        <v>41</v>
      </c>
      <c r="E2" s="212" t="s">
        <v>40</v>
      </c>
      <c r="F2" s="213" t="s">
        <v>39</v>
      </c>
      <c r="G2" s="216" t="s">
        <v>38</v>
      </c>
      <c r="H2" s="218" t="s">
        <v>37</v>
      </c>
      <c r="I2" s="226" t="s">
        <v>36</v>
      </c>
      <c r="J2" s="226"/>
      <c r="K2" s="226"/>
    </row>
    <row r="3" spans="1:203" s="42" customFormat="1" ht="50.25" customHeight="1" x14ac:dyDescent="0.3">
      <c r="A3" s="212"/>
      <c r="B3" s="212"/>
      <c r="C3" s="212"/>
      <c r="D3" s="215"/>
      <c r="E3" s="212"/>
      <c r="F3" s="213"/>
      <c r="G3" s="217"/>
      <c r="H3" s="219"/>
      <c r="I3" s="43" t="s">
        <v>35</v>
      </c>
      <c r="J3" s="43" t="s">
        <v>34</v>
      </c>
      <c r="K3" s="43" t="s">
        <v>33</v>
      </c>
    </row>
    <row r="4" spans="1:203" s="53" customFormat="1" ht="98.25" customHeight="1" x14ac:dyDescent="0.25">
      <c r="A4" s="51" t="s">
        <v>45</v>
      </c>
      <c r="B4" s="45" t="s">
        <v>46</v>
      </c>
      <c r="C4" s="47" t="s">
        <v>47</v>
      </c>
      <c r="D4" s="52">
        <v>51347000</v>
      </c>
      <c r="E4" s="48" t="s">
        <v>48</v>
      </c>
      <c r="F4" s="32">
        <v>45146</v>
      </c>
      <c r="G4" s="32">
        <v>45146</v>
      </c>
      <c r="H4" s="32">
        <v>45512</v>
      </c>
      <c r="I4" s="23">
        <f>((1*100)/12)*6</f>
        <v>50</v>
      </c>
      <c r="J4" s="23">
        <f>((1*100)/12)*7</f>
        <v>58.333333333333336</v>
      </c>
      <c r="K4" s="23">
        <f>((1*100)/12)*8</f>
        <v>66.666666666666671</v>
      </c>
    </row>
    <row r="5" spans="1:203" s="49" customFormat="1" ht="86.25" customHeight="1" x14ac:dyDescent="0.25">
      <c r="A5" s="51" t="s">
        <v>49</v>
      </c>
      <c r="B5" s="45" t="s">
        <v>50</v>
      </c>
      <c r="C5" s="46" t="s">
        <v>51</v>
      </c>
      <c r="D5" s="54">
        <v>300000000</v>
      </c>
      <c r="E5" s="18" t="s">
        <v>52</v>
      </c>
      <c r="F5" s="50">
        <v>45196</v>
      </c>
      <c r="G5" s="55">
        <v>45197</v>
      </c>
      <c r="H5" s="56" t="s">
        <v>53</v>
      </c>
      <c r="I5" s="23">
        <f>((1*100)/7)*4</f>
        <v>57.142857142857146</v>
      </c>
      <c r="J5" s="23">
        <f>((1*100)/7)*5</f>
        <v>71.428571428571431</v>
      </c>
      <c r="K5" s="23">
        <f>((1*100)/7)*6</f>
        <v>85.714285714285722</v>
      </c>
      <c r="GU5" s="51"/>
    </row>
    <row r="6" spans="1:203" s="29" customFormat="1" ht="114" customHeight="1" thickBot="1" x14ac:dyDescent="0.3">
      <c r="A6" s="30" t="s">
        <v>32</v>
      </c>
      <c r="B6" s="16" t="s">
        <v>18</v>
      </c>
      <c r="C6" s="16" t="s">
        <v>31</v>
      </c>
      <c r="D6" s="34">
        <v>199875000</v>
      </c>
      <c r="E6" s="57" t="s">
        <v>30</v>
      </c>
      <c r="F6" s="33">
        <v>45296</v>
      </c>
      <c r="G6" s="41">
        <v>45297</v>
      </c>
      <c r="H6" s="40">
        <v>45316</v>
      </c>
      <c r="I6" s="39">
        <v>1</v>
      </c>
      <c r="J6" s="220"/>
      <c r="K6" s="221"/>
    </row>
    <row r="7" spans="1:203" s="29" customFormat="1" ht="97.5" customHeight="1" x14ac:dyDescent="0.25">
      <c r="A7" s="30" t="s">
        <v>29</v>
      </c>
      <c r="B7" s="16" t="s">
        <v>28</v>
      </c>
      <c r="C7" s="16" t="s">
        <v>27</v>
      </c>
      <c r="D7" s="34">
        <v>55000000</v>
      </c>
      <c r="E7" s="16" t="s">
        <v>20</v>
      </c>
      <c r="F7" s="36">
        <v>45324</v>
      </c>
      <c r="G7" s="33">
        <v>45324</v>
      </c>
      <c r="H7" s="35">
        <v>45657</v>
      </c>
      <c r="I7" s="38"/>
      <c r="J7" s="23">
        <f>30*100/330</f>
        <v>9.0909090909090917</v>
      </c>
      <c r="K7" s="23">
        <f>J7*2</f>
        <v>18.181818181818183</v>
      </c>
    </row>
    <row r="8" spans="1:203" s="29" customFormat="1" ht="90" x14ac:dyDescent="0.25">
      <c r="A8" s="30" t="s">
        <v>26</v>
      </c>
      <c r="B8" s="16" t="s">
        <v>25</v>
      </c>
      <c r="C8" s="16" t="s">
        <v>24</v>
      </c>
      <c r="D8" s="34">
        <v>38500000</v>
      </c>
      <c r="E8" s="16" t="s">
        <v>20</v>
      </c>
      <c r="F8" s="36">
        <v>45324</v>
      </c>
      <c r="G8" s="33">
        <v>45324</v>
      </c>
      <c r="H8" s="35">
        <v>45657</v>
      </c>
      <c r="I8" s="30"/>
      <c r="J8" s="23">
        <f>30*100/330</f>
        <v>9.0909090909090917</v>
      </c>
      <c r="K8" s="23">
        <f>J8*2</f>
        <v>18.181818181818183</v>
      </c>
    </row>
    <row r="9" spans="1:203" s="29" customFormat="1" ht="105" x14ac:dyDescent="0.25">
      <c r="A9" s="30" t="s">
        <v>23</v>
      </c>
      <c r="B9" s="37" t="s">
        <v>22</v>
      </c>
      <c r="C9" s="16" t="s">
        <v>21</v>
      </c>
      <c r="D9" s="34">
        <v>49500000</v>
      </c>
      <c r="E9" s="16" t="s">
        <v>20</v>
      </c>
      <c r="F9" s="36">
        <v>45324</v>
      </c>
      <c r="G9" s="33">
        <v>45324</v>
      </c>
      <c r="H9" s="35">
        <v>45657</v>
      </c>
      <c r="I9" s="30"/>
      <c r="J9" s="23">
        <f>30*100/330</f>
        <v>9.0909090909090917</v>
      </c>
      <c r="K9" s="23">
        <f>J9*2</f>
        <v>18.181818181818183</v>
      </c>
    </row>
    <row r="10" spans="1:203" s="29" customFormat="1" ht="120" x14ac:dyDescent="0.25">
      <c r="A10" s="30" t="s">
        <v>19</v>
      </c>
      <c r="B10" s="16" t="s">
        <v>18</v>
      </c>
      <c r="C10" s="16" t="s">
        <v>17</v>
      </c>
      <c r="D10" s="34">
        <v>16539194738</v>
      </c>
      <c r="E10" s="16" t="s">
        <v>16</v>
      </c>
      <c r="F10" s="36">
        <v>45330</v>
      </c>
      <c r="G10" s="32">
        <v>45334</v>
      </c>
      <c r="H10" s="31">
        <v>45652</v>
      </c>
      <c r="I10" s="30"/>
      <c r="J10" s="23">
        <f>18*100/315</f>
        <v>5.7142857142857144</v>
      </c>
      <c r="K10" s="23">
        <f t="shared" ref="K10" si="0">(30*100/315)+J10</f>
        <v>15.238095238095237</v>
      </c>
    </row>
    <row r="11" spans="1:203" s="22" customFormat="1" ht="105" x14ac:dyDescent="0.25">
      <c r="A11" s="28" t="s">
        <v>15</v>
      </c>
      <c r="B11" s="20" t="s">
        <v>14</v>
      </c>
      <c r="C11" s="20" t="s">
        <v>13</v>
      </c>
      <c r="D11" s="27">
        <v>47250000</v>
      </c>
      <c r="E11" s="20" t="s">
        <v>12</v>
      </c>
      <c r="F11" s="26">
        <v>45337</v>
      </c>
      <c r="G11" s="26">
        <v>45337</v>
      </c>
      <c r="H11" s="25">
        <v>45657</v>
      </c>
      <c r="I11" s="24"/>
      <c r="J11" s="23">
        <f>15*100/315</f>
        <v>4.7619047619047619</v>
      </c>
      <c r="K11" s="23">
        <f t="shared" ref="K11" si="1">(30*100/315)+J11</f>
        <v>14.285714285714285</v>
      </c>
    </row>
    <row r="12" spans="1:203" s="21" customFormat="1" ht="132.75" customHeight="1" x14ac:dyDescent="0.2">
      <c r="A12" s="16" t="s">
        <v>11</v>
      </c>
      <c r="B12" s="16" t="s">
        <v>10</v>
      </c>
      <c r="C12" s="16" t="s">
        <v>9</v>
      </c>
      <c r="D12" s="19">
        <v>11533694379</v>
      </c>
      <c r="E12" s="16" t="s">
        <v>8</v>
      </c>
      <c r="F12" s="15">
        <v>45371</v>
      </c>
      <c r="G12" s="15">
        <v>45372</v>
      </c>
      <c r="H12" s="14">
        <v>45616</v>
      </c>
      <c r="I12" s="222"/>
      <c r="J12" s="223"/>
      <c r="K12" s="13">
        <f>(1*100)/9</f>
        <v>11.111111111111111</v>
      </c>
    </row>
    <row r="13" spans="1:203" s="12" customFormat="1" ht="105" x14ac:dyDescent="0.25">
      <c r="A13" s="16" t="s">
        <v>7</v>
      </c>
      <c r="B13" s="16" t="s">
        <v>6</v>
      </c>
      <c r="C13" s="16" t="s">
        <v>5</v>
      </c>
      <c r="D13" s="19">
        <v>100000000</v>
      </c>
      <c r="E13" s="16" t="s">
        <v>4</v>
      </c>
      <c r="F13" s="15">
        <v>45371</v>
      </c>
      <c r="G13" s="15">
        <v>45372</v>
      </c>
      <c r="H13" s="14">
        <v>45504</v>
      </c>
      <c r="I13" s="224"/>
      <c r="J13" s="225"/>
      <c r="K13" s="13">
        <f>(11*100)/131</f>
        <v>8.3969465648854964</v>
      </c>
    </row>
    <row r="14" spans="1:203" s="12" customFormat="1" ht="90" x14ac:dyDescent="0.25">
      <c r="A14" s="16" t="s">
        <v>3</v>
      </c>
      <c r="B14" s="16" t="s">
        <v>2</v>
      </c>
      <c r="C14" s="16" t="s">
        <v>1</v>
      </c>
      <c r="D14" s="17">
        <v>40500000</v>
      </c>
      <c r="E14" s="16" t="s">
        <v>0</v>
      </c>
      <c r="F14" s="15">
        <v>45372</v>
      </c>
      <c r="G14" s="15">
        <v>45373</v>
      </c>
      <c r="H14" s="14">
        <v>45647</v>
      </c>
      <c r="I14" s="224"/>
      <c r="J14" s="225"/>
      <c r="K14" s="13">
        <f>(11*100)/270</f>
        <v>4.0740740740740744</v>
      </c>
    </row>
    <row r="16" spans="1:203" s="7" customFormat="1" x14ac:dyDescent="0.2">
      <c r="B16" s="11"/>
      <c r="D16" s="10"/>
      <c r="F16" s="9"/>
      <c r="G16" s="8"/>
      <c r="H16" s="8"/>
    </row>
    <row r="17" spans="2:8" s="7" customFormat="1" x14ac:dyDescent="0.2">
      <c r="B17" s="11"/>
      <c r="D17" s="10"/>
      <c r="F17" s="9"/>
      <c r="G17" s="8"/>
      <c r="H17" s="8"/>
    </row>
    <row r="18" spans="2:8" s="7" customFormat="1" x14ac:dyDescent="0.2">
      <c r="B18" s="11"/>
      <c r="D18" s="10"/>
      <c r="F18" s="9"/>
      <c r="G18" s="8"/>
      <c r="H18" s="8"/>
    </row>
    <row r="19" spans="2:8" s="7" customFormat="1" x14ac:dyDescent="0.2">
      <c r="B19" s="11"/>
      <c r="D19" s="10"/>
      <c r="F19" s="9"/>
      <c r="G19" s="8"/>
      <c r="H19" s="8"/>
    </row>
    <row r="20" spans="2:8" s="7" customFormat="1" x14ac:dyDescent="0.2">
      <c r="B20" s="11"/>
      <c r="D20" s="10"/>
      <c r="F20" s="9"/>
      <c r="G20" s="8"/>
      <c r="H20" s="8"/>
    </row>
    <row r="21" spans="2:8" s="7" customFormat="1" x14ac:dyDescent="0.2">
      <c r="B21" s="11"/>
      <c r="D21" s="10"/>
      <c r="F21" s="9"/>
      <c r="G21" s="8"/>
      <c r="H21" s="8"/>
    </row>
    <row r="22" spans="2:8" s="7" customFormat="1" x14ac:dyDescent="0.2">
      <c r="B22" s="11"/>
      <c r="D22" s="10"/>
      <c r="F22" s="9"/>
      <c r="G22" s="8"/>
      <c r="H22" s="8"/>
    </row>
    <row r="23" spans="2:8" s="7" customFormat="1" x14ac:dyDescent="0.2">
      <c r="B23" s="11"/>
      <c r="D23" s="10"/>
      <c r="F23" s="9"/>
      <c r="G23" s="8"/>
      <c r="H23" s="8"/>
    </row>
  </sheetData>
  <mergeCells count="15">
    <mergeCell ref="J6:K6"/>
    <mergeCell ref="I12:J12"/>
    <mergeCell ref="I13:J13"/>
    <mergeCell ref="I14:J14"/>
    <mergeCell ref="I2:K2"/>
    <mergeCell ref="I1:K1"/>
    <mergeCell ref="A1:H1"/>
    <mergeCell ref="A2:A3"/>
    <mergeCell ref="B2:B3"/>
    <mergeCell ref="C2:C3"/>
    <mergeCell ref="E2:E3"/>
    <mergeCell ref="F2:F3"/>
    <mergeCell ref="D2:D3"/>
    <mergeCell ref="G2:G3"/>
    <mergeCell ref="H2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D0422-EBED-49AB-A863-28F7C37198F5}">
  <dimension ref="A1:IK21"/>
  <sheetViews>
    <sheetView zoomScale="50" zoomScaleNormal="50" workbookViewId="0">
      <selection activeCell="J1" sqref="J1:U1"/>
    </sheetView>
  </sheetViews>
  <sheetFormatPr baseColWidth="10" defaultRowHeight="14.25" x14ac:dyDescent="0.2"/>
  <cols>
    <col min="1" max="1" width="33.85546875" style="4" customWidth="1"/>
    <col min="2" max="2" width="32" style="6" customWidth="1"/>
    <col min="3" max="3" width="60.85546875" style="1" customWidth="1"/>
    <col min="4" max="4" width="22.5703125" style="5" customWidth="1"/>
    <col min="5" max="5" width="22.5703125" style="4" customWidth="1"/>
    <col min="6" max="6" width="25.28515625" style="102" customWidth="1"/>
    <col min="7" max="7" width="49.85546875" style="103" customWidth="1"/>
    <col min="8" max="8" width="16.140625" style="104" customWidth="1"/>
    <col min="9" max="9" width="30.42578125" style="104" customWidth="1"/>
    <col min="10" max="10" width="20.28515625" style="1" customWidth="1"/>
    <col min="11" max="11" width="26" style="1" customWidth="1"/>
    <col min="12" max="12" width="28.140625" style="1" customWidth="1"/>
    <col min="13" max="13" width="25.7109375" style="1" customWidth="1"/>
    <col min="14" max="14" width="22.85546875" style="1" customWidth="1"/>
    <col min="15" max="15" width="21.42578125" style="1" customWidth="1"/>
    <col min="16" max="16" width="12.5703125" style="1" hidden="1" customWidth="1"/>
    <col min="17" max="17" width="15" style="1" hidden="1" customWidth="1"/>
    <col min="18" max="18" width="22.28515625" style="1" hidden="1" customWidth="1"/>
    <col min="19" max="19" width="19.5703125" style="1" hidden="1" customWidth="1"/>
    <col min="20" max="20" width="22.5703125" style="1" hidden="1" customWidth="1"/>
    <col min="21" max="21" width="20.5703125" style="1" hidden="1" customWidth="1"/>
    <col min="22" max="16384" width="11.42578125" style="1"/>
  </cols>
  <sheetData>
    <row r="1" spans="1:245" s="44" customFormat="1" ht="50.25" customHeight="1" x14ac:dyDescent="0.3">
      <c r="A1" s="211"/>
      <c r="B1" s="211"/>
      <c r="C1" s="211"/>
      <c r="D1" s="211"/>
      <c r="E1" s="211"/>
      <c r="F1" s="211"/>
      <c r="G1" s="211"/>
      <c r="H1" s="211"/>
      <c r="I1" s="211"/>
      <c r="J1" s="248" t="s">
        <v>162</v>
      </c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</row>
    <row r="2" spans="1:245" s="42" customFormat="1" ht="28.5" customHeight="1" x14ac:dyDescent="0.3">
      <c r="A2" s="212" t="s">
        <v>44</v>
      </c>
      <c r="B2" s="212" t="s">
        <v>43</v>
      </c>
      <c r="C2" s="212" t="s">
        <v>42</v>
      </c>
      <c r="D2" s="214" t="s">
        <v>41</v>
      </c>
      <c r="E2" s="212" t="s">
        <v>40</v>
      </c>
      <c r="F2" s="212" t="s">
        <v>54</v>
      </c>
      <c r="G2" s="251" t="s">
        <v>39</v>
      </c>
      <c r="H2" s="252" t="s">
        <v>38</v>
      </c>
      <c r="I2" s="238" t="s">
        <v>37</v>
      </c>
      <c r="J2" s="226" t="s">
        <v>36</v>
      </c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</row>
    <row r="3" spans="1:245" s="42" customFormat="1" ht="50.25" customHeight="1" x14ac:dyDescent="0.3">
      <c r="A3" s="249"/>
      <c r="B3" s="249"/>
      <c r="C3" s="249"/>
      <c r="D3" s="250"/>
      <c r="E3" s="249"/>
      <c r="F3" s="249"/>
      <c r="G3" s="252"/>
      <c r="H3" s="253"/>
      <c r="I3" s="239"/>
      <c r="J3" s="58" t="s">
        <v>35</v>
      </c>
      <c r="K3" s="58" t="s">
        <v>34</v>
      </c>
      <c r="L3" s="58" t="s">
        <v>33</v>
      </c>
      <c r="M3" s="58" t="s">
        <v>55</v>
      </c>
      <c r="N3" s="58" t="s">
        <v>56</v>
      </c>
      <c r="O3" s="58" t="s">
        <v>57</v>
      </c>
      <c r="P3" s="58" t="s">
        <v>58</v>
      </c>
      <c r="Q3" s="58" t="s">
        <v>59</v>
      </c>
      <c r="R3" s="58" t="s">
        <v>60</v>
      </c>
      <c r="S3" s="58" t="s">
        <v>61</v>
      </c>
      <c r="T3" s="58" t="s">
        <v>62</v>
      </c>
      <c r="U3" s="58" t="s">
        <v>63</v>
      </c>
    </row>
    <row r="4" spans="1:245" s="53" customFormat="1" ht="98.25" customHeight="1" x14ac:dyDescent="0.25">
      <c r="A4" s="51" t="s">
        <v>45</v>
      </c>
      <c r="B4" s="45" t="s">
        <v>46</v>
      </c>
      <c r="C4" s="47" t="s">
        <v>47</v>
      </c>
      <c r="D4" s="52">
        <v>51347000</v>
      </c>
      <c r="E4" s="48" t="s">
        <v>48</v>
      </c>
      <c r="F4" s="59" t="s">
        <v>64</v>
      </c>
      <c r="G4" s="32">
        <v>45146</v>
      </c>
      <c r="H4" s="32">
        <v>45146</v>
      </c>
      <c r="I4" s="32">
        <v>45512</v>
      </c>
      <c r="J4" s="60">
        <f>((1*100)/12)*6</f>
        <v>50</v>
      </c>
      <c r="K4" s="60">
        <f>((1*100)/12)*7</f>
        <v>58.333333333333336</v>
      </c>
      <c r="L4" s="60">
        <f>((1*100)/12)*8</f>
        <v>66.666666666666671</v>
      </c>
      <c r="M4" s="23">
        <f>((1*100)/12)*9</f>
        <v>75</v>
      </c>
      <c r="N4" s="23">
        <f>((1*100)/12)*10</f>
        <v>83.333333333333343</v>
      </c>
      <c r="O4" s="23">
        <f>((1*100)/12)*11</f>
        <v>91.666666666666671</v>
      </c>
      <c r="P4" s="23">
        <f>((1*100)/12)*12</f>
        <v>100</v>
      </c>
      <c r="Q4" s="29"/>
      <c r="T4" s="61">
        <f>(1*100)/12</f>
        <v>8.3333333333333339</v>
      </c>
      <c r="U4" s="53">
        <f>T4*2</f>
        <v>16.666666666666668</v>
      </c>
      <c r="V4" s="61"/>
      <c r="W4" s="61"/>
      <c r="X4" s="61"/>
      <c r="Y4" s="61"/>
      <c r="Z4" s="61"/>
      <c r="AA4" s="61"/>
      <c r="AB4" s="61"/>
      <c r="AC4" s="61"/>
      <c r="AD4" s="61"/>
      <c r="AE4" s="61"/>
    </row>
    <row r="5" spans="1:245" s="49" customFormat="1" ht="86.25" customHeight="1" x14ac:dyDescent="0.25">
      <c r="A5" s="51" t="s">
        <v>49</v>
      </c>
      <c r="B5" s="45" t="s">
        <v>50</v>
      </c>
      <c r="C5" s="46" t="s">
        <v>51</v>
      </c>
      <c r="D5" s="54">
        <v>300000000</v>
      </c>
      <c r="E5" s="18" t="s">
        <v>65</v>
      </c>
      <c r="F5" s="45" t="s">
        <v>66</v>
      </c>
      <c r="G5" s="50">
        <v>45196</v>
      </c>
      <c r="H5" s="55">
        <v>45197</v>
      </c>
      <c r="I5" s="56" t="s">
        <v>53</v>
      </c>
      <c r="J5" s="60">
        <f>((1*100)/7)*4</f>
        <v>57.142857142857146</v>
      </c>
      <c r="K5" s="60">
        <f>((1*100)/7)*5</f>
        <v>71.428571428571431</v>
      </c>
      <c r="L5" s="60">
        <f>((1*100)/7)*6</f>
        <v>85.714285714285722</v>
      </c>
      <c r="M5" s="62">
        <f>((1*100)/7)*7</f>
        <v>100</v>
      </c>
      <c r="N5" s="240"/>
      <c r="O5" s="241"/>
      <c r="P5" s="23">
        <f t="shared" ref="P5:U5" si="0">((1*100)/7)*6</f>
        <v>85.714285714285722</v>
      </c>
      <c r="Q5" s="23">
        <f t="shared" si="0"/>
        <v>85.714285714285722</v>
      </c>
      <c r="R5" s="23">
        <f t="shared" si="0"/>
        <v>85.714285714285722</v>
      </c>
      <c r="S5" s="23">
        <f t="shared" si="0"/>
        <v>85.714285714285722</v>
      </c>
      <c r="T5" s="23">
        <f t="shared" si="0"/>
        <v>85.714285714285722</v>
      </c>
      <c r="U5" s="23">
        <f t="shared" si="0"/>
        <v>85.714285714285722</v>
      </c>
      <c r="IK5" s="51"/>
    </row>
    <row r="6" spans="1:245" s="29" customFormat="1" ht="114" customHeight="1" x14ac:dyDescent="0.25">
      <c r="A6" s="30" t="s">
        <v>32</v>
      </c>
      <c r="B6" s="16" t="s">
        <v>18</v>
      </c>
      <c r="C6" s="16" t="s">
        <v>31</v>
      </c>
      <c r="D6" s="34">
        <v>199875000</v>
      </c>
      <c r="E6" s="30" t="s">
        <v>30</v>
      </c>
      <c r="F6" s="16" t="s">
        <v>67</v>
      </c>
      <c r="G6" s="50">
        <v>45296</v>
      </c>
      <c r="H6" s="32">
        <v>45297</v>
      </c>
      <c r="I6" s="32">
        <v>45316</v>
      </c>
      <c r="J6" s="63">
        <v>1</v>
      </c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</row>
    <row r="7" spans="1:245" s="29" customFormat="1" ht="97.5" customHeight="1" thickBot="1" x14ac:dyDescent="0.3">
      <c r="A7" s="38" t="s">
        <v>29</v>
      </c>
      <c r="B7" s="64" t="s">
        <v>28</v>
      </c>
      <c r="C7" s="64" t="s">
        <v>27</v>
      </c>
      <c r="D7" s="65">
        <v>55000000</v>
      </c>
      <c r="E7" s="66" t="s">
        <v>20</v>
      </c>
      <c r="F7" s="67" t="s">
        <v>68</v>
      </c>
      <c r="G7" s="68">
        <v>45324</v>
      </c>
      <c r="H7" s="69">
        <v>45324</v>
      </c>
      <c r="I7" s="70">
        <v>45657</v>
      </c>
      <c r="J7" s="38"/>
      <c r="K7" s="71">
        <f>30*100/330</f>
        <v>9.0909090909090917</v>
      </c>
      <c r="L7" s="71">
        <f>K7*2</f>
        <v>18.181818181818183</v>
      </c>
      <c r="M7" s="72">
        <f>K7*3</f>
        <v>27.272727272727273</v>
      </c>
      <c r="N7" s="72">
        <f>K7*4</f>
        <v>36.363636363636367</v>
      </c>
      <c r="O7" s="72">
        <f>K7*5</f>
        <v>45.45454545454546</v>
      </c>
      <c r="P7" s="73">
        <f>K7*6</f>
        <v>54.545454545454547</v>
      </c>
      <c r="Q7" s="73">
        <f>K7*7</f>
        <v>63.63636363636364</v>
      </c>
      <c r="R7" s="73">
        <f>K7*8</f>
        <v>72.727272727272734</v>
      </c>
      <c r="S7" s="71">
        <f>K7*9</f>
        <v>81.818181818181827</v>
      </c>
      <c r="T7" s="74">
        <f>K7*10</f>
        <v>90.909090909090921</v>
      </c>
      <c r="U7" s="75">
        <v>1</v>
      </c>
    </row>
    <row r="8" spans="1:245" s="29" customFormat="1" ht="105.75" thickBot="1" x14ac:dyDescent="0.3">
      <c r="A8" s="30" t="s">
        <v>26</v>
      </c>
      <c r="B8" s="16" t="s">
        <v>25</v>
      </c>
      <c r="C8" s="16" t="s">
        <v>24</v>
      </c>
      <c r="D8" s="34">
        <v>38500000</v>
      </c>
      <c r="E8" s="76" t="s">
        <v>20</v>
      </c>
      <c r="F8" s="77" t="s">
        <v>64</v>
      </c>
      <c r="G8" s="36">
        <v>45324</v>
      </c>
      <c r="H8" s="33">
        <v>45324</v>
      </c>
      <c r="I8" s="25">
        <v>45657</v>
      </c>
      <c r="J8" s="30"/>
      <c r="K8" s="60">
        <f>30*100/330</f>
        <v>9.0909090909090917</v>
      </c>
      <c r="L8" s="60">
        <f>K8*2</f>
        <v>18.181818181818183</v>
      </c>
      <c r="M8" s="23">
        <f>K8*3</f>
        <v>27.272727272727273</v>
      </c>
      <c r="N8" s="23">
        <f>K8*4</f>
        <v>36.363636363636367</v>
      </c>
      <c r="O8" s="23">
        <f>K8*5</f>
        <v>45.45454545454546</v>
      </c>
      <c r="P8" s="78">
        <f>K8*6</f>
        <v>54.545454545454547</v>
      </c>
      <c r="Q8" s="78">
        <f>K8*7</f>
        <v>63.63636363636364</v>
      </c>
      <c r="R8" s="78">
        <f>K8*8</f>
        <v>72.727272727272734</v>
      </c>
      <c r="S8" s="60">
        <f>K8*9</f>
        <v>81.818181818181827</v>
      </c>
      <c r="T8" s="79">
        <f>K8*10</f>
        <v>90.909090909090921</v>
      </c>
      <c r="U8" s="80">
        <v>1</v>
      </c>
    </row>
    <row r="9" spans="1:245" s="29" customFormat="1" ht="135.75" thickBot="1" x14ac:dyDescent="0.3">
      <c r="A9" s="30" t="s">
        <v>23</v>
      </c>
      <c r="B9" s="37" t="s">
        <v>22</v>
      </c>
      <c r="C9" s="16" t="s">
        <v>21</v>
      </c>
      <c r="D9" s="34">
        <v>49500000</v>
      </c>
      <c r="E9" s="76" t="s">
        <v>20</v>
      </c>
      <c r="F9" s="81" t="s">
        <v>69</v>
      </c>
      <c r="G9" s="36">
        <v>45324</v>
      </c>
      <c r="H9" s="33">
        <v>45324</v>
      </c>
      <c r="I9" s="25">
        <v>45657</v>
      </c>
      <c r="J9" s="30"/>
      <c r="K9" s="60">
        <f>30*100/330</f>
        <v>9.0909090909090917</v>
      </c>
      <c r="L9" s="60">
        <f>K9*2</f>
        <v>18.181818181818183</v>
      </c>
      <c r="M9" s="23">
        <f>K9*3</f>
        <v>27.272727272727273</v>
      </c>
      <c r="N9" s="23">
        <f>K9*4</f>
        <v>36.363636363636367</v>
      </c>
      <c r="O9" s="23">
        <f>K9*5</f>
        <v>45.45454545454546</v>
      </c>
      <c r="P9" s="78">
        <f>K9*6</f>
        <v>54.545454545454547</v>
      </c>
      <c r="Q9" s="78">
        <f>K9*7</f>
        <v>63.63636363636364</v>
      </c>
      <c r="R9" s="78">
        <f>K9*8</f>
        <v>72.727272727272734</v>
      </c>
      <c r="S9" s="60">
        <f>K9*9</f>
        <v>81.818181818181827</v>
      </c>
      <c r="T9" s="79">
        <f>K9*10</f>
        <v>90.909090909090921</v>
      </c>
      <c r="U9" s="75">
        <v>1</v>
      </c>
    </row>
    <row r="10" spans="1:245" s="29" customFormat="1" ht="135.75" thickBot="1" x14ac:dyDescent="0.3">
      <c r="A10" s="30" t="s">
        <v>19</v>
      </c>
      <c r="B10" s="16" t="s">
        <v>18</v>
      </c>
      <c r="C10" s="16" t="s">
        <v>17</v>
      </c>
      <c r="D10" s="34">
        <v>16539194738</v>
      </c>
      <c r="E10" s="16" t="s">
        <v>16</v>
      </c>
      <c r="F10" s="16" t="s">
        <v>67</v>
      </c>
      <c r="G10" s="33">
        <v>45330</v>
      </c>
      <c r="H10" s="32">
        <v>45334</v>
      </c>
      <c r="I10" s="82">
        <v>45652</v>
      </c>
      <c r="J10" s="30"/>
      <c r="K10" s="60">
        <f>18*100/315</f>
        <v>5.7142857142857144</v>
      </c>
      <c r="L10" s="60">
        <f t="shared" ref="L10:T11" si="1">(30*100/315)+K10</f>
        <v>15.238095238095237</v>
      </c>
      <c r="M10" s="23">
        <f t="shared" si="1"/>
        <v>24.761904761904759</v>
      </c>
      <c r="N10" s="23">
        <f t="shared" si="1"/>
        <v>34.285714285714285</v>
      </c>
      <c r="O10" s="23">
        <f t="shared" si="1"/>
        <v>43.80952380952381</v>
      </c>
      <c r="P10" s="78">
        <f t="shared" si="1"/>
        <v>53.333333333333336</v>
      </c>
      <c r="Q10" s="78">
        <f t="shared" si="1"/>
        <v>62.857142857142861</v>
      </c>
      <c r="R10" s="78">
        <f t="shared" si="1"/>
        <v>72.38095238095238</v>
      </c>
      <c r="S10" s="60">
        <f t="shared" si="1"/>
        <v>81.904761904761898</v>
      </c>
      <c r="T10" s="79">
        <f t="shared" si="1"/>
        <v>91.428571428571416</v>
      </c>
      <c r="U10" s="75">
        <v>1</v>
      </c>
    </row>
    <row r="11" spans="1:245" s="22" customFormat="1" ht="120.75" thickBot="1" x14ac:dyDescent="0.3">
      <c r="A11" s="28" t="s">
        <v>15</v>
      </c>
      <c r="B11" s="20" t="s">
        <v>14</v>
      </c>
      <c r="C11" s="20" t="s">
        <v>13</v>
      </c>
      <c r="D11" s="27">
        <v>47250000</v>
      </c>
      <c r="E11" s="20" t="s">
        <v>12</v>
      </c>
      <c r="F11" s="20" t="s">
        <v>70</v>
      </c>
      <c r="G11" s="26">
        <v>45337</v>
      </c>
      <c r="H11" s="26">
        <v>45337</v>
      </c>
      <c r="I11" s="25">
        <v>45657</v>
      </c>
      <c r="J11" s="24"/>
      <c r="K11" s="60">
        <f>15*100/315</f>
        <v>4.7619047619047619</v>
      </c>
      <c r="L11" s="60">
        <f t="shared" si="1"/>
        <v>14.285714285714285</v>
      </c>
      <c r="M11" s="23">
        <f t="shared" si="1"/>
        <v>23.80952380952381</v>
      </c>
      <c r="N11" s="23">
        <f t="shared" si="1"/>
        <v>33.333333333333336</v>
      </c>
      <c r="O11" s="23">
        <f t="shared" si="1"/>
        <v>42.857142857142861</v>
      </c>
      <c r="P11" s="78">
        <f t="shared" si="1"/>
        <v>52.380952380952387</v>
      </c>
      <c r="Q11" s="78">
        <f t="shared" si="1"/>
        <v>61.904761904761912</v>
      </c>
      <c r="R11" s="78">
        <f t="shared" si="1"/>
        <v>71.428571428571431</v>
      </c>
      <c r="S11" s="60">
        <f t="shared" si="1"/>
        <v>80.952380952380949</v>
      </c>
      <c r="T11" s="83">
        <f t="shared" si="1"/>
        <v>90.476190476190467</v>
      </c>
      <c r="U11" s="75">
        <v>1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</row>
    <row r="12" spans="1:245" s="21" customFormat="1" ht="132.75" customHeight="1" thickBot="1" x14ac:dyDescent="0.25">
      <c r="A12" s="16" t="s">
        <v>11</v>
      </c>
      <c r="B12" s="16" t="s">
        <v>10</v>
      </c>
      <c r="C12" s="16" t="s">
        <v>9</v>
      </c>
      <c r="D12" s="19">
        <v>11533694379</v>
      </c>
      <c r="E12" s="16" t="s">
        <v>8</v>
      </c>
      <c r="F12" s="16" t="s">
        <v>71</v>
      </c>
      <c r="G12" s="15">
        <v>45371</v>
      </c>
      <c r="H12" s="15">
        <v>45372</v>
      </c>
      <c r="I12" s="14">
        <v>45616</v>
      </c>
      <c r="J12" s="222"/>
      <c r="K12" s="223"/>
      <c r="L12" s="85">
        <f>(1*100)/9</f>
        <v>11.111111111111111</v>
      </c>
      <c r="M12" s="13">
        <f>L12*2</f>
        <v>22.222222222222221</v>
      </c>
      <c r="N12" s="13">
        <f>L12*3</f>
        <v>33.333333333333329</v>
      </c>
      <c r="O12" s="13">
        <f>L12*4</f>
        <v>44.444444444444443</v>
      </c>
      <c r="P12" s="86">
        <f>L12*5</f>
        <v>55.555555555555557</v>
      </c>
      <c r="Q12" s="87">
        <f>L12*6</f>
        <v>66.666666666666657</v>
      </c>
      <c r="R12" s="87">
        <f>L12*7</f>
        <v>77.777777777777771</v>
      </c>
      <c r="S12" s="88">
        <f>L12*8</f>
        <v>88.888888888888886</v>
      </c>
      <c r="T12" s="80">
        <v>1</v>
      </c>
      <c r="U12" s="89"/>
    </row>
    <row r="13" spans="1:245" s="12" customFormat="1" ht="120.75" thickBot="1" x14ac:dyDescent="0.3">
      <c r="A13" s="16" t="s">
        <v>7</v>
      </c>
      <c r="B13" s="16" t="s">
        <v>6</v>
      </c>
      <c r="C13" s="16" t="s">
        <v>5</v>
      </c>
      <c r="D13" s="19">
        <v>100000000</v>
      </c>
      <c r="E13" s="16" t="s">
        <v>4</v>
      </c>
      <c r="F13" s="16" t="s">
        <v>71</v>
      </c>
      <c r="G13" s="15">
        <v>45371</v>
      </c>
      <c r="H13" s="15">
        <v>45372</v>
      </c>
      <c r="I13" s="14">
        <v>45504</v>
      </c>
      <c r="J13" s="224"/>
      <c r="K13" s="225"/>
      <c r="L13" s="85">
        <f>(11*100)/131</f>
        <v>8.3969465648854964</v>
      </c>
      <c r="M13" s="13">
        <f>((30*100)/131)+L13</f>
        <v>31.297709923664122</v>
      </c>
      <c r="N13" s="13">
        <f>((30*100)/131)+M13</f>
        <v>54.198473282442748</v>
      </c>
      <c r="O13" s="13">
        <f>((30*100)/131)+N13</f>
        <v>77.099236641221381</v>
      </c>
      <c r="P13" s="90">
        <v>1</v>
      </c>
      <c r="Q13" s="243"/>
      <c r="R13" s="244"/>
      <c r="S13" s="244"/>
      <c r="T13" s="244"/>
      <c r="U13" s="245"/>
    </row>
    <row r="14" spans="1:245" s="12" customFormat="1" ht="105.75" thickBot="1" x14ac:dyDescent="0.3">
      <c r="A14" s="16" t="s">
        <v>3</v>
      </c>
      <c r="B14" s="16" t="s">
        <v>2</v>
      </c>
      <c r="C14" s="16" t="s">
        <v>1</v>
      </c>
      <c r="D14" s="17">
        <v>40500000</v>
      </c>
      <c r="E14" s="16" t="s">
        <v>0</v>
      </c>
      <c r="F14" s="16" t="s">
        <v>71</v>
      </c>
      <c r="G14" s="15">
        <v>45372</v>
      </c>
      <c r="H14" s="15">
        <v>45373</v>
      </c>
      <c r="I14" s="14">
        <v>45647</v>
      </c>
      <c r="J14" s="224"/>
      <c r="K14" s="225"/>
      <c r="L14" s="91">
        <f>(11*100)/270</f>
        <v>4.0740740740740744</v>
      </c>
      <c r="M14" s="92">
        <f t="shared" ref="M14:T14" si="2">((30*100)/270)+L14</f>
        <v>15.185185185185185</v>
      </c>
      <c r="N14" s="92">
        <f t="shared" si="2"/>
        <v>26.296296296296298</v>
      </c>
      <c r="O14" s="92">
        <f t="shared" si="2"/>
        <v>37.407407407407405</v>
      </c>
      <c r="P14" s="93">
        <f t="shared" si="2"/>
        <v>48.518518518518519</v>
      </c>
      <c r="Q14" s="91">
        <f t="shared" si="2"/>
        <v>59.629629629629633</v>
      </c>
      <c r="R14" s="91">
        <f t="shared" si="2"/>
        <v>70.740740740740748</v>
      </c>
      <c r="S14" s="91">
        <f t="shared" si="2"/>
        <v>81.851851851851862</v>
      </c>
      <c r="T14" s="94">
        <f t="shared" si="2"/>
        <v>92.962962962962976</v>
      </c>
      <c r="U14" s="80">
        <v>1</v>
      </c>
    </row>
    <row r="15" spans="1:245" s="12" customFormat="1" ht="90.75" thickBot="1" x14ac:dyDescent="0.3">
      <c r="A15" s="16" t="s">
        <v>72</v>
      </c>
      <c r="B15" s="16" t="s">
        <v>73</v>
      </c>
      <c r="C15" s="16" t="s">
        <v>74</v>
      </c>
      <c r="D15" s="19">
        <v>2150000000</v>
      </c>
      <c r="E15" s="16" t="s">
        <v>8</v>
      </c>
      <c r="F15" s="16" t="s">
        <v>75</v>
      </c>
      <c r="G15" s="15">
        <v>45393</v>
      </c>
      <c r="H15" s="15">
        <v>45393</v>
      </c>
      <c r="I15" s="15">
        <v>45636</v>
      </c>
      <c r="J15" s="224"/>
      <c r="K15" s="227"/>
      <c r="L15" s="225"/>
      <c r="M15" s="95">
        <f>(1*100)/8</f>
        <v>12.5</v>
      </c>
      <c r="N15" s="95">
        <f t="shared" ref="N15:S15" si="3">((1*100)/8)+M15</f>
        <v>25</v>
      </c>
      <c r="O15" s="95">
        <f t="shared" si="3"/>
        <v>37.5</v>
      </c>
      <c r="P15" s="16">
        <f t="shared" si="3"/>
        <v>50</v>
      </c>
      <c r="Q15" s="16">
        <f t="shared" si="3"/>
        <v>62.5</v>
      </c>
      <c r="R15" s="16">
        <f t="shared" si="3"/>
        <v>75</v>
      </c>
      <c r="S15" s="96">
        <f t="shared" si="3"/>
        <v>87.5</v>
      </c>
      <c r="T15" s="234">
        <v>1</v>
      </c>
      <c r="U15" s="246"/>
    </row>
    <row r="16" spans="1:245" s="12" customFormat="1" ht="105.75" thickBot="1" x14ac:dyDescent="0.3">
      <c r="A16" s="16" t="s">
        <v>76</v>
      </c>
      <c r="B16" s="16" t="s">
        <v>77</v>
      </c>
      <c r="C16" s="16" t="s">
        <v>78</v>
      </c>
      <c r="D16" s="19">
        <v>80000000</v>
      </c>
      <c r="E16" s="16" t="s">
        <v>79</v>
      </c>
      <c r="F16" s="16" t="s">
        <v>80</v>
      </c>
      <c r="G16" s="15">
        <v>45397</v>
      </c>
      <c r="H16" s="15">
        <v>45398</v>
      </c>
      <c r="I16" s="15">
        <v>45611</v>
      </c>
      <c r="J16" s="224"/>
      <c r="K16" s="227"/>
      <c r="L16" s="225"/>
      <c r="M16" s="13">
        <f>(1*100)/7</f>
        <v>14.285714285714286</v>
      </c>
      <c r="N16" s="13">
        <f>((1*100)/7)+M16</f>
        <v>28.571428571428573</v>
      </c>
      <c r="O16" s="13">
        <f>((1*100)/7)+N16</f>
        <v>42.857142857142861</v>
      </c>
      <c r="P16" s="85">
        <f>((1*100)/7)+O16</f>
        <v>57.142857142857146</v>
      </c>
      <c r="Q16" s="85">
        <f>((1*100)/7)+P16</f>
        <v>71.428571428571431</v>
      </c>
      <c r="R16" s="88">
        <f>((1*100)/7)+Q16</f>
        <v>85.714285714285722</v>
      </c>
      <c r="S16" s="234">
        <v>1</v>
      </c>
      <c r="T16" s="247"/>
      <c r="U16" s="97"/>
    </row>
    <row r="17" spans="1:21" s="12" customFormat="1" ht="124.5" customHeight="1" thickBot="1" x14ac:dyDescent="0.3">
      <c r="A17" s="16" t="s">
        <v>81</v>
      </c>
      <c r="B17" s="16" t="s">
        <v>82</v>
      </c>
      <c r="C17" s="16" t="s">
        <v>83</v>
      </c>
      <c r="D17" s="19">
        <v>650000000</v>
      </c>
      <c r="E17" s="16" t="s">
        <v>8</v>
      </c>
      <c r="F17" s="16" t="s">
        <v>71</v>
      </c>
      <c r="G17" s="15">
        <v>45412</v>
      </c>
      <c r="H17" s="15">
        <v>45412</v>
      </c>
      <c r="I17" s="15">
        <v>45655</v>
      </c>
      <c r="J17" s="224"/>
      <c r="K17" s="227"/>
      <c r="L17" s="225"/>
      <c r="M17" s="236">
        <f>(1*100)/8</f>
        <v>12.5</v>
      </c>
      <c r="N17" s="237"/>
      <c r="O17" s="95">
        <f>((1*100)/8)+12.5</f>
        <v>25</v>
      </c>
      <c r="P17" s="16">
        <f>((1*100)/8)+O17</f>
        <v>37.5</v>
      </c>
      <c r="Q17" s="16">
        <f>((1*100)/8)+P17</f>
        <v>50</v>
      </c>
      <c r="R17" s="16">
        <f>((1*100)/8)+Q17</f>
        <v>62.5</v>
      </c>
      <c r="S17" s="16">
        <f>((1*100)/8)+R17</f>
        <v>75</v>
      </c>
      <c r="T17" s="16">
        <f>((1*100)/8)+S17</f>
        <v>87.5</v>
      </c>
      <c r="U17" s="80">
        <v>1</v>
      </c>
    </row>
    <row r="18" spans="1:21" s="12" customFormat="1" ht="113.25" customHeight="1" thickBot="1" x14ac:dyDescent="0.3">
      <c r="A18" s="16" t="s">
        <v>84</v>
      </c>
      <c r="B18" s="16" t="s">
        <v>85</v>
      </c>
      <c r="C18" s="16" t="s">
        <v>86</v>
      </c>
      <c r="D18" s="19">
        <v>40000000</v>
      </c>
      <c r="E18" s="16" t="s">
        <v>87</v>
      </c>
      <c r="F18" s="16" t="s">
        <v>71</v>
      </c>
      <c r="G18" s="15">
        <v>45414</v>
      </c>
      <c r="H18" s="15">
        <v>45414</v>
      </c>
      <c r="I18" s="15">
        <v>45657</v>
      </c>
      <c r="J18" s="224"/>
      <c r="K18" s="227"/>
      <c r="L18" s="225"/>
      <c r="M18" s="98"/>
      <c r="N18" s="13">
        <f>(30*100)/240</f>
        <v>12.5</v>
      </c>
      <c r="O18" s="13">
        <f t="shared" ref="O18:T19" si="4">((30*100)/240)+N18</f>
        <v>25</v>
      </c>
      <c r="P18" s="85">
        <f t="shared" si="4"/>
        <v>37.5</v>
      </c>
      <c r="Q18" s="85">
        <f t="shared" si="4"/>
        <v>50</v>
      </c>
      <c r="R18" s="85">
        <f t="shared" si="4"/>
        <v>62.5</v>
      </c>
      <c r="S18" s="85">
        <f t="shared" si="4"/>
        <v>75</v>
      </c>
      <c r="T18" s="85">
        <f t="shared" si="4"/>
        <v>87.5</v>
      </c>
      <c r="U18" s="80">
        <v>1</v>
      </c>
    </row>
    <row r="19" spans="1:21" s="99" customFormat="1" ht="135.75" thickBot="1" x14ac:dyDescent="0.25">
      <c r="A19" s="16" t="s">
        <v>88</v>
      </c>
      <c r="B19" s="16" t="s">
        <v>89</v>
      </c>
      <c r="C19" s="16" t="s">
        <v>90</v>
      </c>
      <c r="D19" s="19">
        <v>36000000</v>
      </c>
      <c r="E19" s="16" t="s">
        <v>8</v>
      </c>
      <c r="F19" s="16" t="s">
        <v>71</v>
      </c>
      <c r="G19" s="15">
        <v>45414</v>
      </c>
      <c r="H19" s="15">
        <v>45414</v>
      </c>
      <c r="I19" s="15">
        <v>45657</v>
      </c>
      <c r="J19" s="228"/>
      <c r="K19" s="229"/>
      <c r="L19" s="230"/>
      <c r="M19" s="98"/>
      <c r="N19" s="13">
        <f>(1*100)/8</f>
        <v>12.5</v>
      </c>
      <c r="O19" s="13">
        <f t="shared" si="4"/>
        <v>25</v>
      </c>
      <c r="P19" s="85">
        <f t="shared" si="4"/>
        <v>37.5</v>
      </c>
      <c r="Q19" s="85">
        <f t="shared" si="4"/>
        <v>50</v>
      </c>
      <c r="R19" s="85">
        <f t="shared" si="4"/>
        <v>62.5</v>
      </c>
      <c r="S19" s="85">
        <f t="shared" si="4"/>
        <v>75</v>
      </c>
      <c r="T19" s="85">
        <f t="shared" si="4"/>
        <v>87.5</v>
      </c>
      <c r="U19" s="80">
        <v>1</v>
      </c>
    </row>
    <row r="20" spans="1:21" s="29" customFormat="1" ht="120.75" customHeight="1" thickBot="1" x14ac:dyDescent="0.3">
      <c r="A20" s="16" t="s">
        <v>91</v>
      </c>
      <c r="B20" s="16" t="s">
        <v>92</v>
      </c>
      <c r="C20" s="16" t="s">
        <v>93</v>
      </c>
      <c r="D20" s="19">
        <v>35850000</v>
      </c>
      <c r="E20" s="16" t="s">
        <v>94</v>
      </c>
      <c r="F20" s="16" t="s">
        <v>95</v>
      </c>
      <c r="G20" s="15">
        <v>45415</v>
      </c>
      <c r="H20" s="15">
        <v>45415</v>
      </c>
      <c r="I20" s="15">
        <v>45657</v>
      </c>
      <c r="J20" s="231"/>
      <c r="K20" s="232"/>
      <c r="L20" s="233"/>
      <c r="M20" s="98"/>
      <c r="N20" s="13">
        <f>(29*100)/239</f>
        <v>12.133891213389122</v>
      </c>
      <c r="O20" s="13">
        <f t="shared" ref="O20:T20" si="5">((30*100)/239)+N20</f>
        <v>24.686192468619247</v>
      </c>
      <c r="P20" s="85">
        <f t="shared" si="5"/>
        <v>37.238493723849373</v>
      </c>
      <c r="Q20" s="85">
        <f t="shared" si="5"/>
        <v>49.7907949790795</v>
      </c>
      <c r="R20" s="85">
        <f t="shared" si="5"/>
        <v>62.343096234309627</v>
      </c>
      <c r="S20" s="85">
        <f t="shared" si="5"/>
        <v>74.895397489539747</v>
      </c>
      <c r="T20" s="91">
        <f t="shared" si="5"/>
        <v>87.447698744769866</v>
      </c>
      <c r="U20" s="100">
        <v>1</v>
      </c>
    </row>
    <row r="21" spans="1:21" s="29" customFormat="1" ht="105.75" thickBot="1" x14ac:dyDescent="0.3">
      <c r="A21" s="30" t="s">
        <v>96</v>
      </c>
      <c r="B21" s="16" t="s">
        <v>97</v>
      </c>
      <c r="C21" s="16" t="s">
        <v>98</v>
      </c>
      <c r="D21" s="34">
        <v>55981000</v>
      </c>
      <c r="E21" s="16" t="s">
        <v>99</v>
      </c>
      <c r="F21" s="30" t="s">
        <v>100</v>
      </c>
      <c r="G21" s="32">
        <v>45468</v>
      </c>
      <c r="H21" s="32">
        <v>45468</v>
      </c>
      <c r="I21" s="32">
        <v>45650</v>
      </c>
      <c r="J21" s="231"/>
      <c r="K21" s="232"/>
      <c r="L21" s="233"/>
      <c r="M21" s="101"/>
      <c r="N21" s="101"/>
      <c r="O21" s="23">
        <f>(1*100)/6</f>
        <v>16.666666666666668</v>
      </c>
      <c r="P21" s="85">
        <f>((1*100)/6)+O21</f>
        <v>33.333333333333336</v>
      </c>
      <c r="Q21" s="85">
        <f>((1*100)/6)+P21</f>
        <v>50</v>
      </c>
      <c r="R21" s="85">
        <f>((1*100)/6)+Q21</f>
        <v>66.666666666666671</v>
      </c>
      <c r="S21" s="88">
        <f>((1*100)/6)+R21</f>
        <v>83.333333333333343</v>
      </c>
      <c r="T21" s="234">
        <v>1</v>
      </c>
      <c r="U21" s="235"/>
    </row>
  </sheetData>
  <mergeCells count="29">
    <mergeCell ref="A1:I1"/>
    <mergeCell ref="J1:U1"/>
    <mergeCell ref="A2:A3"/>
    <mergeCell ref="B2:B3"/>
    <mergeCell ref="C2:C3"/>
    <mergeCell ref="D2:D3"/>
    <mergeCell ref="E2:E3"/>
    <mergeCell ref="F2:F3"/>
    <mergeCell ref="G2:G3"/>
    <mergeCell ref="H2:H3"/>
    <mergeCell ref="J17:L17"/>
    <mergeCell ref="M17:N17"/>
    <mergeCell ref="I2:I3"/>
    <mergeCell ref="J2:U2"/>
    <mergeCell ref="N5:O5"/>
    <mergeCell ref="K6:U6"/>
    <mergeCell ref="J12:K12"/>
    <mergeCell ref="J13:K13"/>
    <mergeCell ref="Q13:U13"/>
    <mergeCell ref="J14:K14"/>
    <mergeCell ref="J15:L15"/>
    <mergeCell ref="T15:U15"/>
    <mergeCell ref="J16:L16"/>
    <mergeCell ref="S16:T16"/>
    <mergeCell ref="J18:L18"/>
    <mergeCell ref="J19:L19"/>
    <mergeCell ref="J20:L20"/>
    <mergeCell ref="J21:L21"/>
    <mergeCell ref="T21:U2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32557-7955-489C-B510-BFF8084B2E14}">
  <dimension ref="A1:IJ32"/>
  <sheetViews>
    <sheetView topLeftCell="A19" zoomScale="50" zoomScaleNormal="50" workbookViewId="0">
      <selection activeCell="A25" sqref="A25:XFD25"/>
    </sheetView>
  </sheetViews>
  <sheetFormatPr baseColWidth="10" defaultRowHeight="15" x14ac:dyDescent="0.2"/>
  <cols>
    <col min="1" max="1" width="24.5703125" style="180" customWidth="1"/>
    <col min="2" max="2" width="25.140625" style="181" customWidth="1"/>
    <col min="3" max="3" width="75.85546875" style="175" customWidth="1"/>
    <col min="4" max="4" width="22.5703125" style="182" customWidth="1"/>
    <col min="5" max="5" width="22.5703125" style="180" customWidth="1"/>
    <col min="6" max="6" width="39.85546875" style="183" customWidth="1"/>
    <col min="7" max="7" width="16.140625" style="184" customWidth="1"/>
    <col min="8" max="8" width="24.7109375" style="184" customWidth="1"/>
    <col min="9" max="9" width="18" style="175" customWidth="1"/>
    <col min="10" max="10" width="17.42578125" style="175" customWidth="1"/>
    <col min="11" max="11" width="16.7109375" style="175" customWidth="1"/>
    <col min="12" max="12" width="14.140625" style="175" customWidth="1"/>
    <col min="13" max="13" width="13.5703125" style="175" customWidth="1"/>
    <col min="14" max="14" width="14.140625" style="175" customWidth="1"/>
    <col min="15" max="15" width="12.5703125" style="175" customWidth="1"/>
    <col min="16" max="16" width="18.140625" style="175" customWidth="1"/>
    <col min="17" max="17" width="22.28515625" style="175" customWidth="1"/>
    <col min="18" max="18" width="19.5703125" style="175" hidden="1" customWidth="1"/>
    <col min="19" max="19" width="22.5703125" style="175" hidden="1" customWidth="1"/>
    <col min="20" max="20" width="20.5703125" style="175" hidden="1" customWidth="1"/>
    <col min="21" max="16384" width="11.42578125" style="175"/>
  </cols>
  <sheetData>
    <row r="1" spans="1:244" s="105" customFormat="1" ht="31.5" customHeight="1" thickBot="1" x14ac:dyDescent="0.3">
      <c r="A1" s="288"/>
      <c r="B1" s="288"/>
      <c r="C1" s="288"/>
      <c r="D1" s="288"/>
      <c r="E1" s="288"/>
      <c r="F1" s="288"/>
      <c r="G1" s="288"/>
      <c r="H1" s="288"/>
      <c r="I1" s="289" t="s">
        <v>162</v>
      </c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</row>
    <row r="2" spans="1:244" s="106" customFormat="1" ht="28.5" customHeight="1" thickBot="1" x14ac:dyDescent="0.3">
      <c r="A2" s="290" t="s">
        <v>44</v>
      </c>
      <c r="B2" s="290" t="s">
        <v>43</v>
      </c>
      <c r="C2" s="290" t="s">
        <v>42</v>
      </c>
      <c r="D2" s="291" t="s">
        <v>41</v>
      </c>
      <c r="E2" s="290" t="s">
        <v>40</v>
      </c>
      <c r="F2" s="293" t="s">
        <v>39</v>
      </c>
      <c r="G2" s="294" t="s">
        <v>38</v>
      </c>
      <c r="H2" s="296" t="s">
        <v>37</v>
      </c>
      <c r="I2" s="273" t="s">
        <v>36</v>
      </c>
      <c r="J2" s="274"/>
      <c r="K2" s="274"/>
      <c r="L2" s="274"/>
      <c r="M2" s="274"/>
      <c r="N2" s="274"/>
      <c r="O2" s="274"/>
      <c r="P2" s="274"/>
      <c r="Q2" s="275"/>
      <c r="R2" s="276" t="s">
        <v>101</v>
      </c>
      <c r="S2" s="277"/>
      <c r="T2" s="278"/>
    </row>
    <row r="3" spans="1:244" s="106" customFormat="1" ht="50.25" customHeight="1" thickBot="1" x14ac:dyDescent="0.3">
      <c r="A3" s="290"/>
      <c r="B3" s="290"/>
      <c r="C3" s="290"/>
      <c r="D3" s="292"/>
      <c r="E3" s="290"/>
      <c r="F3" s="293"/>
      <c r="G3" s="295"/>
      <c r="H3" s="297"/>
      <c r="I3" s="107" t="s">
        <v>35</v>
      </c>
      <c r="J3" s="108" t="s">
        <v>34</v>
      </c>
      <c r="K3" s="109" t="s">
        <v>33</v>
      </c>
      <c r="L3" s="110" t="s">
        <v>55</v>
      </c>
      <c r="M3" s="108" t="s">
        <v>56</v>
      </c>
      <c r="N3" s="109" t="s">
        <v>57</v>
      </c>
      <c r="O3" s="110" t="s">
        <v>102</v>
      </c>
      <c r="P3" s="108" t="s">
        <v>103</v>
      </c>
      <c r="Q3" s="109" t="s">
        <v>104</v>
      </c>
      <c r="R3" s="111" t="s">
        <v>61</v>
      </c>
      <c r="S3" s="112" t="s">
        <v>62</v>
      </c>
      <c r="T3" s="113" t="s">
        <v>63</v>
      </c>
    </row>
    <row r="4" spans="1:244" s="53" customFormat="1" ht="98.25" customHeight="1" x14ac:dyDescent="0.25">
      <c r="A4" s="51" t="s">
        <v>45</v>
      </c>
      <c r="B4" s="45" t="s">
        <v>46</v>
      </c>
      <c r="C4" s="47" t="s">
        <v>47</v>
      </c>
      <c r="D4" s="52">
        <v>51347000</v>
      </c>
      <c r="E4" s="48" t="s">
        <v>48</v>
      </c>
      <c r="F4" s="32">
        <v>45146</v>
      </c>
      <c r="G4" s="32">
        <v>45146</v>
      </c>
      <c r="H4" s="32">
        <v>45512</v>
      </c>
      <c r="I4" s="60">
        <f>((1*100)/12)*6</f>
        <v>50</v>
      </c>
      <c r="J4" s="60">
        <f>((1*100)/12)*7</f>
        <v>58.333333333333336</v>
      </c>
      <c r="K4" s="60">
        <f>((1*100)/12)*8</f>
        <v>66.666666666666671</v>
      </c>
      <c r="L4" s="78">
        <f>((1*100)/12)*9</f>
        <v>75</v>
      </c>
      <c r="M4" s="78">
        <f>((1*100)/12)*10</f>
        <v>83.333333333333343</v>
      </c>
      <c r="N4" s="78">
        <f>((1*100)/12)*11</f>
        <v>91.666666666666671</v>
      </c>
      <c r="O4" s="279">
        <f>((1*100)/12)*12</f>
        <v>100</v>
      </c>
      <c r="P4" s="279"/>
      <c r="Q4" s="51"/>
      <c r="R4" s="51"/>
      <c r="S4" s="114">
        <f>(1*100)/12</f>
        <v>8.3333333333333339</v>
      </c>
      <c r="T4" s="51">
        <f>S4*2</f>
        <v>16.666666666666668</v>
      </c>
      <c r="U4" s="61"/>
      <c r="V4" s="61"/>
      <c r="W4" s="61"/>
      <c r="X4" s="61"/>
      <c r="Y4" s="61"/>
      <c r="Z4" s="61"/>
      <c r="AA4" s="61"/>
      <c r="AB4" s="61"/>
      <c r="AC4" s="61"/>
      <c r="AD4" s="61"/>
    </row>
    <row r="5" spans="1:244" s="49" customFormat="1" ht="86.25" customHeight="1" x14ac:dyDescent="0.25">
      <c r="A5" s="51" t="s">
        <v>49</v>
      </c>
      <c r="B5" s="45" t="s">
        <v>50</v>
      </c>
      <c r="C5" s="46" t="s">
        <v>51</v>
      </c>
      <c r="D5" s="54">
        <v>300000000</v>
      </c>
      <c r="E5" s="18" t="s">
        <v>52</v>
      </c>
      <c r="F5" s="50">
        <v>45196</v>
      </c>
      <c r="G5" s="55">
        <v>45197</v>
      </c>
      <c r="H5" s="56" t="s">
        <v>105</v>
      </c>
      <c r="I5" s="60">
        <f>((1*100)/7)*4</f>
        <v>57.142857142857146</v>
      </c>
      <c r="J5" s="60">
        <f>((1*100)/7)*5</f>
        <v>71.428571428571431</v>
      </c>
      <c r="K5" s="60">
        <f>((1*100)/7)*6</f>
        <v>85.714285714285722</v>
      </c>
      <c r="L5" s="115">
        <f>((1*100)/7)*7</f>
        <v>100</v>
      </c>
      <c r="M5" s="280"/>
      <c r="N5" s="280"/>
      <c r="O5" s="280"/>
      <c r="P5" s="280"/>
      <c r="Q5" s="280"/>
      <c r="R5" s="23">
        <f t="shared" ref="R5:T5" si="0">((1*100)/7)*6</f>
        <v>85.714285714285722</v>
      </c>
      <c r="S5" s="23">
        <f t="shared" si="0"/>
        <v>85.714285714285722</v>
      </c>
      <c r="T5" s="23">
        <f t="shared" si="0"/>
        <v>85.714285714285722</v>
      </c>
      <c r="IJ5" s="51"/>
    </row>
    <row r="6" spans="1:244" s="53" customFormat="1" ht="114" customHeight="1" thickBot="1" x14ac:dyDescent="0.3">
      <c r="A6" s="51" t="s">
        <v>32</v>
      </c>
      <c r="B6" s="45" t="s">
        <v>18</v>
      </c>
      <c r="C6" s="45" t="s">
        <v>31</v>
      </c>
      <c r="D6" s="116">
        <v>199875000</v>
      </c>
      <c r="E6" s="117" t="s">
        <v>30</v>
      </c>
      <c r="F6" s="118">
        <v>45296</v>
      </c>
      <c r="G6" s="119">
        <v>45297</v>
      </c>
      <c r="H6" s="120">
        <v>45316</v>
      </c>
      <c r="I6" s="121">
        <v>1</v>
      </c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</row>
    <row r="7" spans="1:244" s="53" customFormat="1" ht="97.5" customHeight="1" x14ac:dyDescent="0.25">
      <c r="A7" s="51" t="s">
        <v>29</v>
      </c>
      <c r="B7" s="45" t="s">
        <v>28</v>
      </c>
      <c r="C7" s="45" t="s">
        <v>27</v>
      </c>
      <c r="D7" s="116">
        <v>55000000</v>
      </c>
      <c r="E7" s="122" t="s">
        <v>20</v>
      </c>
      <c r="F7" s="118">
        <v>45324</v>
      </c>
      <c r="G7" s="123">
        <v>45324</v>
      </c>
      <c r="H7" s="124">
        <v>45657</v>
      </c>
      <c r="I7" s="125"/>
      <c r="J7" s="114">
        <f>30*100/330</f>
        <v>9.0909090909090917</v>
      </c>
      <c r="K7" s="114">
        <f>J7*2</f>
        <v>18.181818181818183</v>
      </c>
      <c r="L7" s="114">
        <f>J7*3</f>
        <v>27.272727272727273</v>
      </c>
      <c r="M7" s="114">
        <f>J7*4</f>
        <v>36.363636363636367</v>
      </c>
      <c r="N7" s="114">
        <f>J7*5</f>
        <v>45.45454545454546</v>
      </c>
      <c r="O7" s="126">
        <f>J7*6</f>
        <v>54.545454545454547</v>
      </c>
      <c r="P7" s="126">
        <f>J7*7</f>
        <v>63.63636363636364</v>
      </c>
      <c r="Q7" s="126">
        <f>J7*8</f>
        <v>72.727272727272734</v>
      </c>
      <c r="R7" s="114">
        <f>J7*9</f>
        <v>81.818181818181827</v>
      </c>
      <c r="S7" s="114">
        <f>J7*10</f>
        <v>90.909090909090921</v>
      </c>
      <c r="T7" s="127">
        <v>1</v>
      </c>
    </row>
    <row r="8" spans="1:244" s="53" customFormat="1" ht="90.75" thickBot="1" x14ac:dyDescent="0.3">
      <c r="A8" s="51" t="s">
        <v>26</v>
      </c>
      <c r="B8" s="45" t="s">
        <v>25</v>
      </c>
      <c r="C8" s="45" t="s">
        <v>24</v>
      </c>
      <c r="D8" s="116">
        <v>38500000</v>
      </c>
      <c r="E8" s="122" t="s">
        <v>20</v>
      </c>
      <c r="F8" s="118">
        <v>45324</v>
      </c>
      <c r="G8" s="123">
        <v>45324</v>
      </c>
      <c r="H8" s="124">
        <v>45657</v>
      </c>
      <c r="I8" s="51"/>
      <c r="J8" s="128">
        <f>30*100/330</f>
        <v>9.0909090909090917</v>
      </c>
      <c r="K8" s="128">
        <f>J8*2</f>
        <v>18.181818181818183</v>
      </c>
      <c r="L8" s="128">
        <f>J8*3</f>
        <v>27.272727272727273</v>
      </c>
      <c r="M8" s="128">
        <f>J8*4</f>
        <v>36.363636363636367</v>
      </c>
      <c r="N8" s="128">
        <f>J8*5</f>
        <v>45.45454545454546</v>
      </c>
      <c r="O8" s="129">
        <f>J8*6</f>
        <v>54.545454545454547</v>
      </c>
      <c r="P8" s="129">
        <f>J8*7</f>
        <v>63.63636363636364</v>
      </c>
      <c r="Q8" s="129">
        <f>J8*8</f>
        <v>72.727272727272734</v>
      </c>
      <c r="R8" s="128">
        <f>J8*9</f>
        <v>81.818181818181827</v>
      </c>
      <c r="S8" s="130">
        <f>J8*10</f>
        <v>90.909090909090921</v>
      </c>
      <c r="T8" s="131">
        <v>1</v>
      </c>
    </row>
    <row r="9" spans="1:244" s="53" customFormat="1" ht="105.75" thickBot="1" x14ac:dyDescent="0.3">
      <c r="A9" s="51" t="s">
        <v>23</v>
      </c>
      <c r="B9" s="132" t="s">
        <v>22</v>
      </c>
      <c r="C9" s="45" t="s">
        <v>21</v>
      </c>
      <c r="D9" s="116">
        <v>49500000</v>
      </c>
      <c r="E9" s="122" t="s">
        <v>20</v>
      </c>
      <c r="F9" s="118">
        <v>45324</v>
      </c>
      <c r="G9" s="123">
        <v>45324</v>
      </c>
      <c r="H9" s="124">
        <v>45657</v>
      </c>
      <c r="I9" s="51"/>
      <c r="J9" s="114">
        <f>30*100/330</f>
        <v>9.0909090909090917</v>
      </c>
      <c r="K9" s="114">
        <f>J9*2</f>
        <v>18.181818181818183</v>
      </c>
      <c r="L9" s="114">
        <f>J9*3</f>
        <v>27.272727272727273</v>
      </c>
      <c r="M9" s="114">
        <f>J9*4</f>
        <v>36.363636363636367</v>
      </c>
      <c r="N9" s="114">
        <f>J9*5</f>
        <v>45.45454545454546</v>
      </c>
      <c r="O9" s="126">
        <f>J9*6</f>
        <v>54.545454545454547</v>
      </c>
      <c r="P9" s="126">
        <f>J9*7</f>
        <v>63.63636363636364</v>
      </c>
      <c r="Q9" s="126">
        <f>J9*8</f>
        <v>72.727272727272734</v>
      </c>
      <c r="R9" s="114">
        <f>J9*9</f>
        <v>81.818181818181827</v>
      </c>
      <c r="S9" s="133">
        <f>J9*10</f>
        <v>90.909090909090921</v>
      </c>
      <c r="T9" s="131">
        <v>1</v>
      </c>
    </row>
    <row r="10" spans="1:244" s="53" customFormat="1" ht="120.75" thickBot="1" x14ac:dyDescent="0.3">
      <c r="A10" s="51" t="s">
        <v>19</v>
      </c>
      <c r="B10" s="45" t="s">
        <v>18</v>
      </c>
      <c r="C10" s="45" t="s">
        <v>17</v>
      </c>
      <c r="D10" s="116">
        <v>16539194738</v>
      </c>
      <c r="E10" s="134" t="s">
        <v>16</v>
      </c>
      <c r="F10" s="118">
        <v>45330</v>
      </c>
      <c r="G10" s="135">
        <v>45334</v>
      </c>
      <c r="H10" s="136">
        <v>45652</v>
      </c>
      <c r="I10" s="51"/>
      <c r="J10" s="114">
        <f>18*100/315</f>
        <v>5.7142857142857144</v>
      </c>
      <c r="K10" s="114">
        <f t="shared" ref="K10:S11" si="1">(30*100/315)+J10</f>
        <v>15.238095238095237</v>
      </c>
      <c r="L10" s="114">
        <f t="shared" si="1"/>
        <v>24.761904761904759</v>
      </c>
      <c r="M10" s="114">
        <f t="shared" si="1"/>
        <v>34.285714285714285</v>
      </c>
      <c r="N10" s="114">
        <f t="shared" si="1"/>
        <v>43.80952380952381</v>
      </c>
      <c r="O10" s="126">
        <f t="shared" si="1"/>
        <v>53.333333333333336</v>
      </c>
      <c r="P10" s="126">
        <f t="shared" si="1"/>
        <v>62.857142857142861</v>
      </c>
      <c r="Q10" s="126">
        <f t="shared" si="1"/>
        <v>72.38095238095238</v>
      </c>
      <c r="R10" s="114">
        <f t="shared" si="1"/>
        <v>81.904761904761898</v>
      </c>
      <c r="S10" s="133">
        <f t="shared" si="1"/>
        <v>91.428571428571416</v>
      </c>
      <c r="T10" s="131">
        <v>1</v>
      </c>
    </row>
    <row r="11" spans="1:244" s="146" customFormat="1" ht="105.75" thickBot="1" x14ac:dyDescent="0.3">
      <c r="A11" s="137" t="s">
        <v>15</v>
      </c>
      <c r="B11" s="138" t="s">
        <v>14</v>
      </c>
      <c r="C11" s="138" t="s">
        <v>13</v>
      </c>
      <c r="D11" s="139">
        <v>47250000</v>
      </c>
      <c r="E11" s="140" t="s">
        <v>12</v>
      </c>
      <c r="F11" s="141">
        <v>45337</v>
      </c>
      <c r="G11" s="142">
        <v>45337</v>
      </c>
      <c r="H11" s="143">
        <v>45657</v>
      </c>
      <c r="I11" s="144"/>
      <c r="J11" s="114">
        <f>15*100/315</f>
        <v>4.7619047619047619</v>
      </c>
      <c r="K11" s="114">
        <f t="shared" si="1"/>
        <v>14.285714285714285</v>
      </c>
      <c r="L11" s="114">
        <f t="shared" si="1"/>
        <v>23.80952380952381</v>
      </c>
      <c r="M11" s="114">
        <f t="shared" si="1"/>
        <v>33.333333333333336</v>
      </c>
      <c r="N11" s="114">
        <f t="shared" si="1"/>
        <v>42.857142857142861</v>
      </c>
      <c r="O11" s="126">
        <f t="shared" si="1"/>
        <v>52.380952380952387</v>
      </c>
      <c r="P11" s="126">
        <f t="shared" si="1"/>
        <v>61.904761904761912</v>
      </c>
      <c r="Q11" s="126">
        <f t="shared" si="1"/>
        <v>71.428571428571431</v>
      </c>
      <c r="R11" s="114">
        <f t="shared" si="1"/>
        <v>80.952380952380949</v>
      </c>
      <c r="S11" s="145">
        <f t="shared" si="1"/>
        <v>90.476190476190467</v>
      </c>
      <c r="T11" s="131">
        <v>1</v>
      </c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</row>
    <row r="12" spans="1:244" s="156" customFormat="1" ht="153" customHeight="1" thickBot="1" x14ac:dyDescent="0.25">
      <c r="A12" s="45" t="s">
        <v>11</v>
      </c>
      <c r="B12" s="45" t="s">
        <v>10</v>
      </c>
      <c r="C12" s="45" t="s">
        <v>9</v>
      </c>
      <c r="D12" s="147">
        <v>11533694379</v>
      </c>
      <c r="E12" s="45" t="s">
        <v>8</v>
      </c>
      <c r="F12" s="148">
        <v>45371</v>
      </c>
      <c r="G12" s="148">
        <v>45372</v>
      </c>
      <c r="H12" s="149">
        <v>45616</v>
      </c>
      <c r="I12" s="282"/>
      <c r="J12" s="283"/>
      <c r="K12" s="150">
        <f>(1*100)/9</f>
        <v>11.111111111111111</v>
      </c>
      <c r="L12" s="150">
        <f>K12*2</f>
        <v>22.222222222222221</v>
      </c>
      <c r="M12" s="150">
        <f>K12*3</f>
        <v>33.333333333333329</v>
      </c>
      <c r="N12" s="150">
        <f>K12*4</f>
        <v>44.444444444444443</v>
      </c>
      <c r="O12" s="151">
        <f>K12*5</f>
        <v>55.555555555555557</v>
      </c>
      <c r="P12" s="152">
        <f>K12*6</f>
        <v>66.666666666666657</v>
      </c>
      <c r="Q12" s="152">
        <f>K12*7</f>
        <v>77.777777777777771</v>
      </c>
      <c r="R12" s="153">
        <f>K12*8</f>
        <v>88.888888888888886</v>
      </c>
      <c r="S12" s="154">
        <v>1</v>
      </c>
      <c r="T12" s="155"/>
    </row>
    <row r="13" spans="1:244" s="158" customFormat="1" ht="105.75" thickBot="1" x14ac:dyDescent="0.3">
      <c r="A13" s="45" t="s">
        <v>7</v>
      </c>
      <c r="B13" s="45" t="s">
        <v>6</v>
      </c>
      <c r="C13" s="45" t="s">
        <v>5</v>
      </c>
      <c r="D13" s="147">
        <v>100000000</v>
      </c>
      <c r="E13" s="45" t="s">
        <v>4</v>
      </c>
      <c r="F13" s="148">
        <v>45371</v>
      </c>
      <c r="G13" s="148">
        <v>45372</v>
      </c>
      <c r="H13" s="149">
        <v>45504</v>
      </c>
      <c r="I13" s="264"/>
      <c r="J13" s="266"/>
      <c r="K13" s="150">
        <f>(11*100)/131</f>
        <v>8.3969465648854964</v>
      </c>
      <c r="L13" s="150">
        <f>((30*100)/131)+K13</f>
        <v>31.297709923664122</v>
      </c>
      <c r="M13" s="150">
        <f>((30*100)/131)+L13</f>
        <v>54.198473282442748</v>
      </c>
      <c r="N13" s="153">
        <f>((30*100)/131)+M13</f>
        <v>77.099236641221381</v>
      </c>
      <c r="O13" s="157">
        <v>1</v>
      </c>
      <c r="P13" s="284"/>
      <c r="Q13" s="285"/>
      <c r="R13" s="285"/>
      <c r="S13" s="285"/>
      <c r="T13" s="286"/>
    </row>
    <row r="14" spans="1:244" s="158" customFormat="1" ht="90.75" thickBot="1" x14ac:dyDescent="0.3">
      <c r="A14" s="45" t="s">
        <v>3</v>
      </c>
      <c r="B14" s="45" t="s">
        <v>2</v>
      </c>
      <c r="C14" s="45" t="s">
        <v>1</v>
      </c>
      <c r="D14" s="159">
        <v>40500000</v>
      </c>
      <c r="E14" s="45" t="s">
        <v>0</v>
      </c>
      <c r="F14" s="148">
        <v>45372</v>
      </c>
      <c r="G14" s="148">
        <v>45373</v>
      </c>
      <c r="H14" s="149">
        <v>45647</v>
      </c>
      <c r="I14" s="264"/>
      <c r="J14" s="266"/>
      <c r="K14" s="160">
        <f>(11*100)/270</f>
        <v>4.0740740740740744</v>
      </c>
      <c r="L14" s="160">
        <f t="shared" ref="L14:S14" si="2">((30*100)/270)+K14</f>
        <v>15.185185185185185</v>
      </c>
      <c r="M14" s="160">
        <f t="shared" si="2"/>
        <v>26.296296296296298</v>
      </c>
      <c r="N14" s="160">
        <f t="shared" si="2"/>
        <v>37.407407407407405</v>
      </c>
      <c r="O14" s="161">
        <f t="shared" si="2"/>
        <v>48.518518518518519</v>
      </c>
      <c r="P14" s="151">
        <f t="shared" si="2"/>
        <v>59.629629629629633</v>
      </c>
      <c r="Q14" s="151">
        <f t="shared" si="2"/>
        <v>70.740740740740748</v>
      </c>
      <c r="R14" s="160">
        <f t="shared" si="2"/>
        <v>81.851851851851862</v>
      </c>
      <c r="S14" s="162">
        <f t="shared" si="2"/>
        <v>92.962962962962976</v>
      </c>
      <c r="T14" s="154">
        <v>1</v>
      </c>
    </row>
    <row r="15" spans="1:244" s="158" customFormat="1" ht="75.75" thickBot="1" x14ac:dyDescent="0.3">
      <c r="A15" s="45" t="s">
        <v>72</v>
      </c>
      <c r="B15" s="45" t="s">
        <v>73</v>
      </c>
      <c r="C15" s="45" t="s">
        <v>74</v>
      </c>
      <c r="D15" s="147">
        <v>2150000000</v>
      </c>
      <c r="E15" s="45" t="s">
        <v>8</v>
      </c>
      <c r="F15" s="148">
        <v>45393</v>
      </c>
      <c r="G15" s="148">
        <v>45393</v>
      </c>
      <c r="H15" s="148">
        <v>45636</v>
      </c>
      <c r="I15" s="264"/>
      <c r="J15" s="265"/>
      <c r="K15" s="266"/>
      <c r="L15" s="45">
        <f>(1*100)/8</f>
        <v>12.5</v>
      </c>
      <c r="M15" s="45">
        <f t="shared" ref="M15:R15" si="3">((1*100)/8)+L15</f>
        <v>25</v>
      </c>
      <c r="N15" s="45">
        <f t="shared" si="3"/>
        <v>37.5</v>
      </c>
      <c r="O15" s="163">
        <f t="shared" si="3"/>
        <v>50</v>
      </c>
      <c r="P15" s="163">
        <f t="shared" si="3"/>
        <v>62.5</v>
      </c>
      <c r="Q15" s="163">
        <f t="shared" si="3"/>
        <v>75</v>
      </c>
      <c r="R15" s="164">
        <f t="shared" si="3"/>
        <v>87.5</v>
      </c>
      <c r="S15" s="259">
        <v>1</v>
      </c>
      <c r="T15" s="287"/>
    </row>
    <row r="16" spans="1:244" s="158" customFormat="1" ht="90.75" thickBot="1" x14ac:dyDescent="0.3">
      <c r="A16" s="45" t="s">
        <v>76</v>
      </c>
      <c r="B16" s="45" t="s">
        <v>77</v>
      </c>
      <c r="C16" s="45" t="s">
        <v>78</v>
      </c>
      <c r="D16" s="147">
        <v>80000000</v>
      </c>
      <c r="E16" s="45" t="s">
        <v>79</v>
      </c>
      <c r="F16" s="148">
        <v>45397</v>
      </c>
      <c r="G16" s="148">
        <v>45398</v>
      </c>
      <c r="H16" s="148">
        <v>45611</v>
      </c>
      <c r="I16" s="264"/>
      <c r="J16" s="265"/>
      <c r="K16" s="266"/>
      <c r="L16" s="150">
        <f>(1*100)/7</f>
        <v>14.285714285714286</v>
      </c>
      <c r="M16" s="150">
        <f>((1*100)/7)+L16</f>
        <v>28.571428571428573</v>
      </c>
      <c r="N16" s="150">
        <f>((1*100)/7)+M16</f>
        <v>42.857142857142861</v>
      </c>
      <c r="O16" s="152">
        <f>((1*100)/7)+N16</f>
        <v>57.142857142857146</v>
      </c>
      <c r="P16" s="152">
        <f>((1*100)/7)+O16</f>
        <v>71.428571428571431</v>
      </c>
      <c r="Q16" s="165">
        <f>((1*100)/7)+P16</f>
        <v>85.714285714285722</v>
      </c>
      <c r="R16" s="259">
        <v>1</v>
      </c>
      <c r="S16" s="272"/>
      <c r="T16" s="166"/>
    </row>
    <row r="17" spans="1:21" s="158" customFormat="1" ht="124.5" customHeight="1" thickBot="1" x14ac:dyDescent="0.3">
      <c r="A17" s="45" t="s">
        <v>81</v>
      </c>
      <c r="B17" s="45" t="s">
        <v>82</v>
      </c>
      <c r="C17" s="45" t="s">
        <v>83</v>
      </c>
      <c r="D17" s="147">
        <v>650000000</v>
      </c>
      <c r="E17" s="45" t="s">
        <v>8</v>
      </c>
      <c r="F17" s="148">
        <v>45412</v>
      </c>
      <c r="G17" s="148">
        <v>45412</v>
      </c>
      <c r="H17" s="148">
        <v>45655</v>
      </c>
      <c r="I17" s="264"/>
      <c r="J17" s="265"/>
      <c r="K17" s="266"/>
      <c r="L17" s="267">
        <f>(1*100)/8</f>
        <v>12.5</v>
      </c>
      <c r="M17" s="268"/>
      <c r="N17" s="45">
        <f>((1*100)/8)+12.5</f>
        <v>25</v>
      </c>
      <c r="O17" s="163">
        <f>((1*100)/8)+N17</f>
        <v>37.5</v>
      </c>
      <c r="P17" s="163">
        <f>((1*100)/8)+O17</f>
        <v>50</v>
      </c>
      <c r="Q17" s="163">
        <f>((1*100)/8)+P17</f>
        <v>62.5</v>
      </c>
      <c r="R17" s="45">
        <f>((1*100)/8)+Q17</f>
        <v>75</v>
      </c>
      <c r="S17" s="45">
        <f>((1*100)/8)+R17</f>
        <v>87.5</v>
      </c>
      <c r="T17" s="154">
        <v>1</v>
      </c>
    </row>
    <row r="18" spans="1:21" s="158" customFormat="1" ht="113.25" customHeight="1" thickBot="1" x14ac:dyDescent="0.3">
      <c r="A18" s="45" t="s">
        <v>84</v>
      </c>
      <c r="B18" s="45" t="s">
        <v>85</v>
      </c>
      <c r="C18" s="45" t="s">
        <v>86</v>
      </c>
      <c r="D18" s="147">
        <v>40000000</v>
      </c>
      <c r="E18" s="45" t="s">
        <v>87</v>
      </c>
      <c r="F18" s="148">
        <v>45414</v>
      </c>
      <c r="G18" s="148">
        <v>45414</v>
      </c>
      <c r="H18" s="148">
        <v>45657</v>
      </c>
      <c r="I18" s="264"/>
      <c r="J18" s="265"/>
      <c r="K18" s="265"/>
      <c r="L18" s="266"/>
      <c r="M18" s="150">
        <f>(30*100)/240</f>
        <v>12.5</v>
      </c>
      <c r="N18" s="150">
        <f t="shared" ref="N18:S19" si="4">((30*100)/240)+M18</f>
        <v>25</v>
      </c>
      <c r="O18" s="152">
        <f t="shared" si="4"/>
        <v>37.5</v>
      </c>
      <c r="P18" s="152">
        <f t="shared" si="4"/>
        <v>50</v>
      </c>
      <c r="Q18" s="152">
        <f t="shared" si="4"/>
        <v>62.5</v>
      </c>
      <c r="R18" s="150">
        <f t="shared" si="4"/>
        <v>75</v>
      </c>
      <c r="S18" s="150">
        <f t="shared" si="4"/>
        <v>87.5</v>
      </c>
      <c r="T18" s="154">
        <v>1</v>
      </c>
    </row>
    <row r="19" spans="1:21" s="167" customFormat="1" ht="120" customHeight="1" thickBot="1" x14ac:dyDescent="0.25">
      <c r="A19" s="45" t="s">
        <v>88</v>
      </c>
      <c r="B19" s="45" t="s">
        <v>89</v>
      </c>
      <c r="C19" s="45" t="s">
        <v>90</v>
      </c>
      <c r="D19" s="147">
        <v>36000000</v>
      </c>
      <c r="E19" s="45" t="s">
        <v>8</v>
      </c>
      <c r="F19" s="148">
        <v>45414</v>
      </c>
      <c r="G19" s="148">
        <v>45414</v>
      </c>
      <c r="H19" s="148">
        <v>45657</v>
      </c>
      <c r="I19" s="269"/>
      <c r="J19" s="270"/>
      <c r="K19" s="270"/>
      <c r="L19" s="271"/>
      <c r="M19" s="150">
        <f>(1*100)/8</f>
        <v>12.5</v>
      </c>
      <c r="N19" s="150">
        <f t="shared" si="4"/>
        <v>25</v>
      </c>
      <c r="O19" s="152">
        <f t="shared" si="4"/>
        <v>37.5</v>
      </c>
      <c r="P19" s="152">
        <f t="shared" si="4"/>
        <v>50</v>
      </c>
      <c r="Q19" s="152">
        <f t="shared" si="4"/>
        <v>62.5</v>
      </c>
      <c r="R19" s="150">
        <f t="shared" si="4"/>
        <v>75</v>
      </c>
      <c r="S19" s="150">
        <f t="shared" si="4"/>
        <v>87.5</v>
      </c>
      <c r="T19" s="154">
        <v>1</v>
      </c>
    </row>
    <row r="20" spans="1:21" s="53" customFormat="1" ht="120.75" customHeight="1" thickBot="1" x14ac:dyDescent="0.3">
      <c r="A20" s="45" t="s">
        <v>91</v>
      </c>
      <c r="B20" s="45" t="s">
        <v>92</v>
      </c>
      <c r="C20" s="45" t="s">
        <v>93</v>
      </c>
      <c r="D20" s="147">
        <v>35850000</v>
      </c>
      <c r="E20" s="45" t="s">
        <v>94</v>
      </c>
      <c r="F20" s="148">
        <v>45415</v>
      </c>
      <c r="G20" s="148">
        <v>45415</v>
      </c>
      <c r="H20" s="148">
        <v>45657</v>
      </c>
      <c r="I20" s="254"/>
      <c r="J20" s="255"/>
      <c r="K20" s="255"/>
      <c r="L20" s="261"/>
      <c r="M20" s="150">
        <f>(29*100)/239</f>
        <v>12.133891213389122</v>
      </c>
      <c r="N20" s="150">
        <f t="shared" ref="N20:S20" si="5">((30*100)/239)+M20</f>
        <v>24.686192468619247</v>
      </c>
      <c r="O20" s="152">
        <f t="shared" si="5"/>
        <v>37.238493723849373</v>
      </c>
      <c r="P20" s="152">
        <f t="shared" si="5"/>
        <v>49.7907949790795</v>
      </c>
      <c r="Q20" s="152">
        <f t="shared" si="5"/>
        <v>62.343096234309627</v>
      </c>
      <c r="R20" s="150">
        <f t="shared" si="5"/>
        <v>74.895397489539747</v>
      </c>
      <c r="S20" s="160">
        <f t="shared" si="5"/>
        <v>87.447698744769866</v>
      </c>
      <c r="T20" s="169">
        <v>1</v>
      </c>
    </row>
    <row r="21" spans="1:21" s="53" customFormat="1" ht="90.75" thickBot="1" x14ac:dyDescent="0.3">
      <c r="A21" s="51" t="s">
        <v>96</v>
      </c>
      <c r="B21" s="45" t="s">
        <v>97</v>
      </c>
      <c r="C21" s="45" t="s">
        <v>98</v>
      </c>
      <c r="D21" s="116">
        <v>55981000</v>
      </c>
      <c r="E21" s="45" t="s">
        <v>99</v>
      </c>
      <c r="F21" s="170">
        <v>45468</v>
      </c>
      <c r="G21" s="170">
        <v>45468</v>
      </c>
      <c r="H21" s="170">
        <v>45650</v>
      </c>
      <c r="I21" s="254"/>
      <c r="J21" s="255"/>
      <c r="K21" s="255"/>
      <c r="L21" s="255"/>
      <c r="M21" s="261"/>
      <c r="N21" s="114">
        <f>(1*100)/6</f>
        <v>16.666666666666668</v>
      </c>
      <c r="O21" s="152">
        <f>((1*100)/6)+N21</f>
        <v>33.333333333333336</v>
      </c>
      <c r="P21" s="152">
        <f>((1*100)/6)+O21</f>
        <v>50</v>
      </c>
      <c r="Q21" s="152">
        <f>((1*100)/6)+P21</f>
        <v>66.666666666666671</v>
      </c>
      <c r="R21" s="153">
        <f>((1*100)/6)+Q21</f>
        <v>83.333333333333343</v>
      </c>
      <c r="S21" s="259">
        <v>1</v>
      </c>
      <c r="T21" s="260"/>
    </row>
    <row r="22" spans="1:21" s="53" customFormat="1" ht="60.75" thickBot="1" x14ac:dyDescent="0.3">
      <c r="A22" s="51" t="s">
        <v>106</v>
      </c>
      <c r="B22" s="45" t="s">
        <v>107</v>
      </c>
      <c r="C22" s="45" t="s">
        <v>108</v>
      </c>
      <c r="D22" s="171">
        <v>31900000</v>
      </c>
      <c r="E22" s="45" t="s">
        <v>109</v>
      </c>
      <c r="F22" s="170">
        <v>45481</v>
      </c>
      <c r="G22" s="170">
        <v>45481</v>
      </c>
      <c r="H22" s="170">
        <v>45657</v>
      </c>
      <c r="I22" s="254"/>
      <c r="J22" s="255"/>
      <c r="K22" s="255"/>
      <c r="L22" s="255"/>
      <c r="M22" s="255"/>
      <c r="N22" s="261"/>
      <c r="O22" s="126">
        <f>((24*100)/174)</f>
        <v>13.793103448275861</v>
      </c>
      <c r="P22" s="126">
        <f>((30*100)/174)+O22</f>
        <v>31.03448275862069</v>
      </c>
      <c r="Q22" s="126">
        <f>((30*100)/174)+P22</f>
        <v>48.275862068965523</v>
      </c>
      <c r="R22" s="114">
        <f>((30*100)/174)+Q22</f>
        <v>65.517241379310349</v>
      </c>
      <c r="S22" s="133">
        <f>((30*100)/174)+R22</f>
        <v>82.758620689655174</v>
      </c>
      <c r="T22" s="154">
        <v>1</v>
      </c>
    </row>
    <row r="23" spans="1:21" s="53" customFormat="1" ht="120.75" customHeight="1" thickBot="1" x14ac:dyDescent="0.3">
      <c r="A23" s="51" t="s">
        <v>110</v>
      </c>
      <c r="B23" s="45" t="s">
        <v>25</v>
      </c>
      <c r="C23" s="45" t="s">
        <v>111</v>
      </c>
      <c r="D23" s="171">
        <v>27500000</v>
      </c>
      <c r="E23" s="45" t="s">
        <v>112</v>
      </c>
      <c r="F23" s="170">
        <v>45490</v>
      </c>
      <c r="G23" s="170">
        <v>45490</v>
      </c>
      <c r="H23" s="170">
        <v>45657</v>
      </c>
      <c r="I23" s="254"/>
      <c r="J23" s="255"/>
      <c r="K23" s="255"/>
      <c r="L23" s="255"/>
      <c r="M23" s="255"/>
      <c r="N23" s="261"/>
      <c r="O23" s="126">
        <f>((15*100)/165)</f>
        <v>9.0909090909090917</v>
      </c>
      <c r="P23" s="126">
        <f>((30*100)/165)+O23</f>
        <v>27.272727272727273</v>
      </c>
      <c r="Q23" s="126">
        <f>((30*100)/165)+P23</f>
        <v>45.454545454545453</v>
      </c>
      <c r="R23" s="114">
        <f>((30*100)/165)+Q23</f>
        <v>63.63636363636364</v>
      </c>
      <c r="S23" s="172">
        <f>((30*100)/165)+R23</f>
        <v>81.818181818181827</v>
      </c>
      <c r="T23" s="169">
        <v>1</v>
      </c>
    </row>
    <row r="24" spans="1:21" s="53" customFormat="1" ht="104.25" customHeight="1" thickBot="1" x14ac:dyDescent="0.3">
      <c r="A24" s="51" t="s">
        <v>113</v>
      </c>
      <c r="B24" s="45" t="s">
        <v>114</v>
      </c>
      <c r="C24" s="45" t="s">
        <v>115</v>
      </c>
      <c r="D24" s="171">
        <v>100000000</v>
      </c>
      <c r="E24" s="45" t="s">
        <v>116</v>
      </c>
      <c r="F24" s="170">
        <v>45492</v>
      </c>
      <c r="G24" s="170">
        <v>45496</v>
      </c>
      <c r="H24" s="170">
        <v>45648</v>
      </c>
      <c r="I24" s="254"/>
      <c r="J24" s="255"/>
      <c r="K24" s="255"/>
      <c r="L24" s="255"/>
      <c r="M24" s="255"/>
      <c r="N24" s="261"/>
      <c r="O24" s="173">
        <f>(1*100)/5</f>
        <v>20</v>
      </c>
      <c r="P24" s="173">
        <f>((1*100)/5)+O24</f>
        <v>40</v>
      </c>
      <c r="Q24" s="173">
        <f>((1*100)/5)+P24</f>
        <v>60</v>
      </c>
      <c r="R24" s="168">
        <f>((1*100)/5)+Q24</f>
        <v>80</v>
      </c>
      <c r="S24" s="259">
        <v>1</v>
      </c>
      <c r="T24" s="260"/>
    </row>
    <row r="25" spans="1:21" s="53" customFormat="1" ht="90.75" customHeight="1" thickBot="1" x14ac:dyDescent="0.3">
      <c r="A25" s="51" t="s">
        <v>117</v>
      </c>
      <c r="B25" s="45" t="s">
        <v>118</v>
      </c>
      <c r="C25" s="45" t="s">
        <v>47</v>
      </c>
      <c r="D25" s="171" t="s">
        <v>119</v>
      </c>
      <c r="E25" s="45" t="s">
        <v>120</v>
      </c>
      <c r="F25" s="170">
        <v>45518</v>
      </c>
      <c r="G25" s="170">
        <v>45518</v>
      </c>
      <c r="H25" s="170">
        <v>45883</v>
      </c>
      <c r="I25" s="254"/>
      <c r="J25" s="255"/>
      <c r="K25" s="255"/>
      <c r="L25" s="255"/>
      <c r="M25" s="255"/>
      <c r="N25" s="255"/>
      <c r="O25" s="261"/>
      <c r="P25" s="126">
        <f>(1*100)/12</f>
        <v>8.3333333333333339</v>
      </c>
      <c r="Q25" s="126">
        <f>((1*100)/12)+P25</f>
        <v>16.666666666666668</v>
      </c>
      <c r="R25" s="114">
        <f>((1*100)/12)+Q25</f>
        <v>25</v>
      </c>
      <c r="S25" s="114">
        <f>((1*100)/12)+R25</f>
        <v>33.333333333333336</v>
      </c>
      <c r="T25" s="114">
        <f>((1*100)/12)+S25</f>
        <v>41.666666666666671</v>
      </c>
    </row>
    <row r="26" spans="1:21" s="53" customFormat="1" ht="75.75" customHeight="1" thickBot="1" x14ac:dyDescent="0.3">
      <c r="A26" s="51" t="s">
        <v>121</v>
      </c>
      <c r="B26" s="45" t="s">
        <v>122</v>
      </c>
      <c r="C26" s="45" t="s">
        <v>123</v>
      </c>
      <c r="D26" s="171" t="s">
        <v>124</v>
      </c>
      <c r="E26" s="51" t="s">
        <v>125</v>
      </c>
      <c r="F26" s="170">
        <v>45518</v>
      </c>
      <c r="G26" s="170">
        <v>45518</v>
      </c>
      <c r="H26" s="170">
        <v>45609</v>
      </c>
      <c r="I26" s="254"/>
      <c r="J26" s="255"/>
      <c r="K26" s="255"/>
      <c r="L26" s="255"/>
      <c r="M26" s="255"/>
      <c r="N26" s="255"/>
      <c r="O26" s="261"/>
      <c r="P26" s="152">
        <f>(1*100)/3</f>
        <v>33.333333333333336</v>
      </c>
      <c r="Q26" s="126">
        <f>((1*100)/3)+P26</f>
        <v>66.666666666666671</v>
      </c>
      <c r="R26" s="169">
        <v>1</v>
      </c>
      <c r="S26" s="262"/>
      <c r="T26" s="263"/>
    </row>
    <row r="27" spans="1:21" s="53" customFormat="1" ht="126" customHeight="1" thickBot="1" x14ac:dyDescent="0.3">
      <c r="A27" s="51" t="s">
        <v>126</v>
      </c>
      <c r="B27" s="45" t="s">
        <v>127</v>
      </c>
      <c r="C27" s="45" t="s">
        <v>128</v>
      </c>
      <c r="D27" s="171">
        <v>100000000</v>
      </c>
      <c r="E27" s="45" t="s">
        <v>129</v>
      </c>
      <c r="F27" s="170">
        <v>45520</v>
      </c>
      <c r="G27" s="170">
        <v>45520</v>
      </c>
      <c r="H27" s="170">
        <v>45641</v>
      </c>
      <c r="I27" s="254"/>
      <c r="J27" s="255"/>
      <c r="K27" s="255"/>
      <c r="L27" s="255"/>
      <c r="M27" s="255"/>
      <c r="N27" s="255"/>
      <c r="O27" s="261"/>
      <c r="P27" s="163">
        <f>(1*100)/4</f>
        <v>25</v>
      </c>
      <c r="Q27" s="126">
        <f>((1*100)/4)+P27</f>
        <v>50</v>
      </c>
      <c r="R27" s="133">
        <f>((1*100)/4)+Q27</f>
        <v>75</v>
      </c>
      <c r="S27" s="259">
        <v>1</v>
      </c>
      <c r="T27" s="260"/>
    </row>
    <row r="28" spans="1:21" s="53" customFormat="1" ht="105.75" customHeight="1" x14ac:dyDescent="0.25">
      <c r="A28" s="51" t="s">
        <v>130</v>
      </c>
      <c r="B28" s="45" t="s">
        <v>131</v>
      </c>
      <c r="C28" s="45" t="s">
        <v>132</v>
      </c>
      <c r="D28" s="171">
        <v>12950000</v>
      </c>
      <c r="E28" s="45" t="s">
        <v>133</v>
      </c>
      <c r="F28" s="170">
        <v>45551</v>
      </c>
      <c r="G28" s="170">
        <v>45551</v>
      </c>
      <c r="H28" s="170">
        <v>45657</v>
      </c>
      <c r="I28" s="254"/>
      <c r="J28" s="255"/>
      <c r="K28" s="255"/>
      <c r="L28" s="255"/>
      <c r="M28" s="255"/>
      <c r="N28" s="255"/>
      <c r="O28" s="255"/>
      <c r="P28" s="261"/>
      <c r="Q28" s="174">
        <f>(15*100)/105</f>
        <v>14.285714285714286</v>
      </c>
      <c r="R28" s="172">
        <f>((30*100)/105)+Q28</f>
        <v>42.857142857142861</v>
      </c>
      <c r="S28" s="172">
        <f>((30*100)/105)+R28</f>
        <v>71.428571428571431</v>
      </c>
      <c r="T28" s="169">
        <v>1</v>
      </c>
    </row>
    <row r="29" spans="1:21" s="53" customFormat="1" ht="120" x14ac:dyDescent="0.25">
      <c r="A29" s="51" t="s">
        <v>134</v>
      </c>
      <c r="B29" s="45" t="s">
        <v>135</v>
      </c>
      <c r="C29" s="45" t="s">
        <v>136</v>
      </c>
      <c r="D29" s="171">
        <v>100000000</v>
      </c>
      <c r="E29" s="45" t="s">
        <v>137</v>
      </c>
      <c r="F29" s="170">
        <v>45561</v>
      </c>
      <c r="G29" s="170">
        <v>45561</v>
      </c>
      <c r="H29" s="170">
        <v>45575</v>
      </c>
      <c r="I29" s="254"/>
      <c r="J29" s="255"/>
      <c r="K29" s="255"/>
      <c r="L29" s="255"/>
      <c r="M29" s="255"/>
      <c r="N29" s="255"/>
      <c r="O29" s="255"/>
      <c r="P29" s="255"/>
      <c r="Q29" s="256"/>
      <c r="R29" s="257"/>
      <c r="S29" s="257"/>
      <c r="T29" s="257"/>
      <c r="U29" s="258"/>
    </row>
    <row r="30" spans="1:21" x14ac:dyDescent="0.2">
      <c r="A30" s="175"/>
      <c r="B30" s="176"/>
      <c r="D30" s="177"/>
      <c r="E30" s="178"/>
      <c r="F30" s="179"/>
      <c r="G30" s="175"/>
      <c r="H30" s="175"/>
    </row>
    <row r="31" spans="1:21" x14ac:dyDescent="0.2">
      <c r="A31" s="175"/>
      <c r="B31" s="176"/>
      <c r="D31" s="177"/>
      <c r="E31" s="175"/>
      <c r="F31" s="178"/>
      <c r="G31" s="179"/>
      <c r="H31" s="179"/>
    </row>
    <row r="32" spans="1:21" x14ac:dyDescent="0.2">
      <c r="A32" s="175"/>
      <c r="B32" s="176"/>
      <c r="D32" s="177"/>
      <c r="E32" s="175"/>
      <c r="F32" s="178"/>
      <c r="G32" s="179"/>
      <c r="H32" s="179"/>
    </row>
  </sheetData>
  <mergeCells count="42">
    <mergeCell ref="A1:H1"/>
    <mergeCell ref="I1:T1"/>
    <mergeCell ref="A2:A3"/>
    <mergeCell ref="B2:B3"/>
    <mergeCell ref="C2:C3"/>
    <mergeCell ref="D2:D3"/>
    <mergeCell ref="E2:E3"/>
    <mergeCell ref="F2:F3"/>
    <mergeCell ref="G2:G3"/>
    <mergeCell ref="H2:H3"/>
    <mergeCell ref="I16:K16"/>
    <mergeCell ref="R16:S16"/>
    <mergeCell ref="I2:Q2"/>
    <mergeCell ref="R2:T2"/>
    <mergeCell ref="O4:P4"/>
    <mergeCell ref="M5:Q5"/>
    <mergeCell ref="J6:T6"/>
    <mergeCell ref="I12:J12"/>
    <mergeCell ref="I13:J13"/>
    <mergeCell ref="P13:T13"/>
    <mergeCell ref="I14:J14"/>
    <mergeCell ref="I15:K15"/>
    <mergeCell ref="S15:T15"/>
    <mergeCell ref="I17:K17"/>
    <mergeCell ref="L17:M17"/>
    <mergeCell ref="I18:L18"/>
    <mergeCell ref="I19:L19"/>
    <mergeCell ref="I20:L20"/>
    <mergeCell ref="I29:P29"/>
    <mergeCell ref="Q29:U29"/>
    <mergeCell ref="S21:T21"/>
    <mergeCell ref="I22:N22"/>
    <mergeCell ref="I23:N23"/>
    <mergeCell ref="I24:N24"/>
    <mergeCell ref="S24:T24"/>
    <mergeCell ref="I25:O25"/>
    <mergeCell ref="I21:M21"/>
    <mergeCell ref="I26:O26"/>
    <mergeCell ref="S26:T26"/>
    <mergeCell ref="I27:O27"/>
    <mergeCell ref="S27:T27"/>
    <mergeCell ref="I28:P2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9A100-E4C9-4424-863D-2746706CF3DA}">
  <dimension ref="A1:II166"/>
  <sheetViews>
    <sheetView tabSelected="1" zoomScale="50" zoomScaleNormal="50" workbookViewId="0">
      <selection activeCell="H10" sqref="H10"/>
    </sheetView>
  </sheetViews>
  <sheetFormatPr baseColWidth="10" defaultRowHeight="15" x14ac:dyDescent="0.2"/>
  <cols>
    <col min="1" max="1" width="24.5703125" style="307" customWidth="1"/>
    <col min="2" max="2" width="25.140625" style="181" customWidth="1"/>
    <col min="3" max="3" width="75.85546875" style="175" customWidth="1"/>
    <col min="4" max="4" width="22.5703125" style="182" customWidth="1"/>
    <col min="5" max="5" width="22.5703125" style="180" customWidth="1"/>
    <col min="6" max="6" width="39.85546875" style="183" customWidth="1"/>
    <col min="7" max="7" width="16.140625" style="184" customWidth="1"/>
    <col min="8" max="8" width="24.7109375" style="184" customWidth="1"/>
    <col min="9" max="9" width="13.140625" style="175" customWidth="1"/>
    <col min="10" max="10" width="17.42578125" style="175" customWidth="1"/>
    <col min="11" max="11" width="16.7109375" style="175" customWidth="1"/>
    <col min="12" max="12" width="14.140625" style="175" customWidth="1"/>
    <col min="13" max="13" width="13.5703125" style="175" customWidth="1"/>
    <col min="14" max="14" width="14.140625" style="175" customWidth="1"/>
    <col min="15" max="15" width="12.5703125" style="175" customWidth="1"/>
    <col min="16" max="16" width="15" style="175" customWidth="1"/>
    <col min="17" max="17" width="22.28515625" style="175" customWidth="1"/>
    <col min="18" max="18" width="19.5703125" style="175" customWidth="1"/>
    <col min="19" max="19" width="22.5703125" style="175" customWidth="1"/>
    <col min="20" max="20" width="20.5703125" style="175" customWidth="1"/>
    <col min="21" max="16384" width="11.42578125" style="175"/>
  </cols>
  <sheetData>
    <row r="1" spans="1:243" s="105" customFormat="1" ht="39.75" customHeight="1" x14ac:dyDescent="0.25">
      <c r="A1" s="288"/>
      <c r="B1" s="288"/>
      <c r="C1" s="288"/>
      <c r="D1" s="288"/>
      <c r="E1" s="288"/>
      <c r="F1" s="288"/>
      <c r="G1" s="288"/>
      <c r="H1" s="288"/>
      <c r="I1" s="305" t="s">
        <v>162</v>
      </c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</row>
    <row r="2" spans="1:243" s="106" customFormat="1" ht="28.5" customHeight="1" x14ac:dyDescent="0.25">
      <c r="A2" s="306" t="s">
        <v>44</v>
      </c>
      <c r="B2" s="290" t="s">
        <v>43</v>
      </c>
      <c r="C2" s="290" t="s">
        <v>42</v>
      </c>
      <c r="D2" s="291" t="s">
        <v>41</v>
      </c>
      <c r="E2" s="290" t="s">
        <v>40</v>
      </c>
      <c r="F2" s="293" t="s">
        <v>39</v>
      </c>
      <c r="G2" s="294" t="s">
        <v>38</v>
      </c>
      <c r="H2" s="294" t="s">
        <v>37</v>
      </c>
      <c r="I2" s="300" t="s">
        <v>36</v>
      </c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2"/>
    </row>
    <row r="3" spans="1:243" s="106" customFormat="1" ht="50.25" customHeight="1" thickBot="1" x14ac:dyDescent="0.3">
      <c r="A3" s="306"/>
      <c r="B3" s="290"/>
      <c r="C3" s="290"/>
      <c r="D3" s="292"/>
      <c r="E3" s="290"/>
      <c r="F3" s="293"/>
      <c r="G3" s="295"/>
      <c r="H3" s="295"/>
      <c r="I3" s="186" t="s">
        <v>138</v>
      </c>
      <c r="J3" s="187" t="s">
        <v>139</v>
      </c>
      <c r="K3" s="187" t="s">
        <v>140</v>
      </c>
      <c r="L3" s="187" t="s">
        <v>141</v>
      </c>
      <c r="M3" s="187" t="s">
        <v>142</v>
      </c>
      <c r="N3" s="187" t="s">
        <v>143</v>
      </c>
      <c r="O3" s="187" t="s">
        <v>58</v>
      </c>
      <c r="P3" s="187" t="s">
        <v>59</v>
      </c>
      <c r="Q3" s="188" t="s">
        <v>60</v>
      </c>
      <c r="R3" s="187" t="s">
        <v>61</v>
      </c>
      <c r="S3" s="187" t="s">
        <v>62</v>
      </c>
      <c r="T3" s="187" t="s">
        <v>63</v>
      </c>
    </row>
    <row r="4" spans="1:243" s="29" customFormat="1" ht="98.25" customHeight="1" thickBot="1" x14ac:dyDescent="0.3">
      <c r="A4" s="30" t="s">
        <v>45</v>
      </c>
      <c r="B4" s="16" t="s">
        <v>46</v>
      </c>
      <c r="C4" s="203" t="s">
        <v>47</v>
      </c>
      <c r="D4" s="308">
        <v>51347000</v>
      </c>
      <c r="E4" s="18" t="s">
        <v>48</v>
      </c>
      <c r="F4" s="32">
        <v>45146</v>
      </c>
      <c r="G4" s="32">
        <v>45146</v>
      </c>
      <c r="H4" s="32">
        <v>45512</v>
      </c>
      <c r="I4" s="79">
        <f>((1*100)/12)*6</f>
        <v>50</v>
      </c>
      <c r="J4" s="60">
        <f>((1*100)/12)*7</f>
        <v>58.333333333333336</v>
      </c>
      <c r="K4" s="60">
        <f>((1*100)/12)*8</f>
        <v>66.666666666666671</v>
      </c>
      <c r="L4" s="189">
        <f>((1*100)/12)*9</f>
        <v>75</v>
      </c>
      <c r="M4" s="78">
        <f>((1*100)/12)*10</f>
        <v>83.333333333333343</v>
      </c>
      <c r="N4" s="190">
        <f>((1*100)/12)*11</f>
        <v>91.666666666666671</v>
      </c>
      <c r="O4" s="309">
        <v>1</v>
      </c>
      <c r="P4" s="310"/>
      <c r="Q4" s="233"/>
      <c r="R4" s="242"/>
      <c r="S4" s="242"/>
      <c r="T4" s="242"/>
      <c r="U4" s="311"/>
      <c r="V4" s="311"/>
      <c r="W4" s="311"/>
      <c r="X4" s="311"/>
      <c r="Y4" s="311"/>
      <c r="Z4" s="311"/>
      <c r="AA4" s="311"/>
      <c r="AB4" s="311"/>
      <c r="AC4" s="311"/>
    </row>
    <row r="5" spans="1:243" s="84" customFormat="1" ht="86.25" customHeight="1" thickBot="1" x14ac:dyDescent="0.3">
      <c r="A5" s="30" t="s">
        <v>49</v>
      </c>
      <c r="B5" s="16" t="s">
        <v>50</v>
      </c>
      <c r="C5" s="77" t="s">
        <v>51</v>
      </c>
      <c r="D5" s="312">
        <v>300000000</v>
      </c>
      <c r="E5" s="18" t="s">
        <v>52</v>
      </c>
      <c r="F5" s="50">
        <v>45196</v>
      </c>
      <c r="G5" s="55">
        <v>45197</v>
      </c>
      <c r="H5" s="56" t="s">
        <v>105</v>
      </c>
      <c r="I5" s="83">
        <f>((1*100)/7)*4</f>
        <v>57.142857142857146</v>
      </c>
      <c r="J5" s="60">
        <f>((1*100)/7)*5</f>
        <v>71.428571428571431</v>
      </c>
      <c r="K5" s="79">
        <f>((1*100)/7)*6</f>
        <v>85.714285714285722</v>
      </c>
      <c r="L5" s="80">
        <v>1</v>
      </c>
      <c r="M5" s="313"/>
      <c r="N5" s="314"/>
      <c r="O5" s="314"/>
      <c r="P5" s="314"/>
      <c r="Q5" s="314"/>
      <c r="R5" s="314"/>
      <c r="S5" s="314"/>
      <c r="T5" s="315"/>
      <c r="II5" s="30"/>
    </row>
    <row r="6" spans="1:243" s="29" customFormat="1" ht="114" customHeight="1" thickBot="1" x14ac:dyDescent="0.3">
      <c r="A6" s="30" t="s">
        <v>32</v>
      </c>
      <c r="B6" s="16" t="s">
        <v>18</v>
      </c>
      <c r="C6" s="16" t="s">
        <v>31</v>
      </c>
      <c r="D6" s="34">
        <v>199875000</v>
      </c>
      <c r="E6" s="57" t="s">
        <v>30</v>
      </c>
      <c r="F6" s="208">
        <v>45296</v>
      </c>
      <c r="G6" s="41">
        <v>45297</v>
      </c>
      <c r="H6" s="40">
        <v>45316</v>
      </c>
      <c r="I6" s="80">
        <v>1</v>
      </c>
      <c r="J6" s="233"/>
      <c r="K6" s="242"/>
      <c r="L6" s="303"/>
      <c r="M6" s="242"/>
      <c r="N6" s="242"/>
      <c r="O6" s="242"/>
      <c r="P6" s="242"/>
      <c r="Q6" s="242"/>
      <c r="R6" s="242"/>
      <c r="S6" s="242"/>
      <c r="T6" s="304"/>
    </row>
    <row r="7" spans="1:243" s="29" customFormat="1" ht="97.5" customHeight="1" x14ac:dyDescent="0.25">
      <c r="A7" s="30" t="s">
        <v>29</v>
      </c>
      <c r="B7" s="16" t="s">
        <v>28</v>
      </c>
      <c r="C7" s="16" t="s">
        <v>27</v>
      </c>
      <c r="D7" s="34">
        <v>55000000</v>
      </c>
      <c r="E7" s="16" t="s">
        <v>20</v>
      </c>
      <c r="F7" s="50">
        <v>45324</v>
      </c>
      <c r="G7" s="36">
        <v>45324</v>
      </c>
      <c r="H7" s="35">
        <v>45657</v>
      </c>
      <c r="I7" s="192"/>
      <c r="J7" s="60">
        <f>30*100/330</f>
        <v>9.0909090909090917</v>
      </c>
      <c r="K7" s="60">
        <f>J7*2</f>
        <v>18.181818181818183</v>
      </c>
      <c r="L7" s="60">
        <f>J7*3</f>
        <v>27.272727272727273</v>
      </c>
      <c r="M7" s="60">
        <f>J7*4</f>
        <v>36.363636363636367</v>
      </c>
      <c r="N7" s="60">
        <f>J7*5</f>
        <v>45.45454545454546</v>
      </c>
      <c r="O7" s="60">
        <f>J7*6</f>
        <v>54.545454545454547</v>
      </c>
      <c r="P7" s="60">
        <f>J7*7</f>
        <v>63.63636363636364</v>
      </c>
      <c r="Q7" s="60">
        <f>J7*8</f>
        <v>72.727272727272734</v>
      </c>
      <c r="R7" s="23">
        <f>J7*9</f>
        <v>81.818181818181827</v>
      </c>
      <c r="S7" s="193">
        <f>J7*10</f>
        <v>90.909090909090921</v>
      </c>
      <c r="T7" s="194">
        <v>1</v>
      </c>
    </row>
    <row r="8" spans="1:243" s="29" customFormat="1" ht="90.75" thickBot="1" x14ac:dyDescent="0.3">
      <c r="A8" s="30" t="s">
        <v>26</v>
      </c>
      <c r="B8" s="16" t="s">
        <v>25</v>
      </c>
      <c r="C8" s="16" t="s">
        <v>24</v>
      </c>
      <c r="D8" s="34">
        <v>38500000</v>
      </c>
      <c r="E8" s="16" t="s">
        <v>20</v>
      </c>
      <c r="F8" s="50">
        <v>45324</v>
      </c>
      <c r="G8" s="36">
        <v>45324</v>
      </c>
      <c r="H8" s="35">
        <v>45657</v>
      </c>
      <c r="I8" s="30"/>
      <c r="J8" s="71">
        <f>30*100/330</f>
        <v>9.0909090909090917</v>
      </c>
      <c r="K8" s="71">
        <f>J8*2</f>
        <v>18.181818181818183</v>
      </c>
      <c r="L8" s="71">
        <f>J8*3</f>
        <v>27.272727272727273</v>
      </c>
      <c r="M8" s="71">
        <f>J8*4</f>
        <v>36.363636363636367</v>
      </c>
      <c r="N8" s="71">
        <f>J8*5</f>
        <v>45.45454545454546</v>
      </c>
      <c r="O8" s="71">
        <f>J8*6</f>
        <v>54.545454545454547</v>
      </c>
      <c r="P8" s="71">
        <f>J8*7</f>
        <v>63.63636363636364</v>
      </c>
      <c r="Q8" s="71">
        <f>J8*8</f>
        <v>72.727272727272734</v>
      </c>
      <c r="R8" s="72">
        <f>J8*9</f>
        <v>81.818181818181827</v>
      </c>
      <c r="S8" s="195">
        <f>J8*10</f>
        <v>90.909090909090921</v>
      </c>
      <c r="T8" s="75">
        <v>1</v>
      </c>
    </row>
    <row r="9" spans="1:243" s="29" customFormat="1" ht="105.75" thickBot="1" x14ac:dyDescent="0.3">
      <c r="A9" s="30" t="s">
        <v>23</v>
      </c>
      <c r="B9" s="37" t="s">
        <v>22</v>
      </c>
      <c r="C9" s="16" t="s">
        <v>21</v>
      </c>
      <c r="D9" s="34">
        <v>49500000</v>
      </c>
      <c r="E9" s="16" t="s">
        <v>20</v>
      </c>
      <c r="F9" s="50">
        <v>45324</v>
      </c>
      <c r="G9" s="36">
        <v>45324</v>
      </c>
      <c r="H9" s="35">
        <v>45657</v>
      </c>
      <c r="I9" s="30"/>
      <c r="J9" s="60">
        <f>30*100/330</f>
        <v>9.0909090909090917</v>
      </c>
      <c r="K9" s="60">
        <f>J9*2</f>
        <v>18.181818181818183</v>
      </c>
      <c r="L9" s="60">
        <f>J9*3</f>
        <v>27.272727272727273</v>
      </c>
      <c r="M9" s="60">
        <f>J9*4</f>
        <v>36.363636363636367</v>
      </c>
      <c r="N9" s="60">
        <f>J9*5</f>
        <v>45.45454545454546</v>
      </c>
      <c r="O9" s="60">
        <f>J9*6</f>
        <v>54.545454545454547</v>
      </c>
      <c r="P9" s="60">
        <f>J9*7</f>
        <v>63.63636363636364</v>
      </c>
      <c r="Q9" s="60">
        <f>J9*8</f>
        <v>72.727272727272734</v>
      </c>
      <c r="R9" s="23">
        <f>J9*9</f>
        <v>81.818181818181827</v>
      </c>
      <c r="S9" s="193">
        <f>J9*10</f>
        <v>90.909090909090921</v>
      </c>
      <c r="T9" s="202">
        <v>1</v>
      </c>
    </row>
    <row r="10" spans="1:243" s="29" customFormat="1" ht="120.75" thickBot="1" x14ac:dyDescent="0.3">
      <c r="A10" s="30" t="s">
        <v>19</v>
      </c>
      <c r="B10" s="16" t="s">
        <v>18</v>
      </c>
      <c r="C10" s="16" t="s">
        <v>17</v>
      </c>
      <c r="D10" s="34">
        <v>16539194738</v>
      </c>
      <c r="E10" s="16" t="s">
        <v>16</v>
      </c>
      <c r="F10" s="50">
        <v>45330</v>
      </c>
      <c r="G10" s="206">
        <v>45334</v>
      </c>
      <c r="H10" s="14" t="s">
        <v>163</v>
      </c>
      <c r="I10" s="30"/>
      <c r="J10" s="60">
        <f>18*100/315</f>
        <v>5.7142857142857144</v>
      </c>
      <c r="K10" s="60">
        <f t="shared" ref="K10:S11" si="0">(30*100/315)+J10</f>
        <v>15.238095238095237</v>
      </c>
      <c r="L10" s="60">
        <f t="shared" si="0"/>
        <v>24.761904761904759</v>
      </c>
      <c r="M10" s="60">
        <f t="shared" si="0"/>
        <v>34.285714285714285</v>
      </c>
      <c r="N10" s="60">
        <f t="shared" si="0"/>
        <v>43.80952380952381</v>
      </c>
      <c r="O10" s="60">
        <f t="shared" si="0"/>
        <v>53.333333333333336</v>
      </c>
      <c r="P10" s="60">
        <f t="shared" si="0"/>
        <v>62.857142857142861</v>
      </c>
      <c r="Q10" s="60">
        <f t="shared" si="0"/>
        <v>72.38095238095238</v>
      </c>
      <c r="R10" s="60">
        <f t="shared" si="0"/>
        <v>81.904761904761898</v>
      </c>
      <c r="S10" s="79">
        <f t="shared" si="0"/>
        <v>91.428571428571416</v>
      </c>
      <c r="T10" s="205" t="s">
        <v>161</v>
      </c>
    </row>
    <row r="11" spans="1:243" s="22" customFormat="1" ht="105.75" thickBot="1" x14ac:dyDescent="0.3">
      <c r="A11" s="28" t="s">
        <v>15</v>
      </c>
      <c r="B11" s="20" t="s">
        <v>14</v>
      </c>
      <c r="C11" s="20" t="s">
        <v>13</v>
      </c>
      <c r="D11" s="27">
        <v>47250000</v>
      </c>
      <c r="E11" s="18" t="s">
        <v>12</v>
      </c>
      <c r="F11" s="209">
        <v>45337</v>
      </c>
      <c r="G11" s="207">
        <v>45337</v>
      </c>
      <c r="H11" s="25">
        <v>45657</v>
      </c>
      <c r="I11" s="24"/>
      <c r="J11" s="60">
        <f>15*100/315</f>
        <v>4.7619047619047619</v>
      </c>
      <c r="K11" s="60">
        <f t="shared" si="0"/>
        <v>14.285714285714285</v>
      </c>
      <c r="L11" s="60">
        <f t="shared" si="0"/>
        <v>23.80952380952381</v>
      </c>
      <c r="M11" s="60">
        <f t="shared" si="0"/>
        <v>33.333333333333336</v>
      </c>
      <c r="N11" s="60">
        <f t="shared" si="0"/>
        <v>42.857142857142861</v>
      </c>
      <c r="O11" s="60">
        <f t="shared" si="0"/>
        <v>52.380952380952387</v>
      </c>
      <c r="P11" s="60">
        <f t="shared" si="0"/>
        <v>61.904761904761912</v>
      </c>
      <c r="Q11" s="60">
        <f t="shared" si="0"/>
        <v>71.428571428571431</v>
      </c>
      <c r="R11" s="23">
        <f t="shared" si="0"/>
        <v>80.952380952380949</v>
      </c>
      <c r="S11" s="196">
        <f t="shared" si="0"/>
        <v>90.476190476190467</v>
      </c>
      <c r="T11" s="75">
        <v>1</v>
      </c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</row>
    <row r="12" spans="1:243" s="21" customFormat="1" ht="153" customHeight="1" thickBot="1" x14ac:dyDescent="0.25">
      <c r="A12" s="16" t="s">
        <v>11</v>
      </c>
      <c r="B12" s="16" t="s">
        <v>10</v>
      </c>
      <c r="C12" s="16" t="s">
        <v>9</v>
      </c>
      <c r="D12" s="19">
        <v>11533694379</v>
      </c>
      <c r="E12" s="16" t="s">
        <v>144</v>
      </c>
      <c r="F12" s="15">
        <v>45371</v>
      </c>
      <c r="G12" s="15">
        <v>45372</v>
      </c>
      <c r="H12" s="14" t="s">
        <v>145</v>
      </c>
      <c r="I12" s="222"/>
      <c r="J12" s="223"/>
      <c r="K12" s="85">
        <f>(1*100)/9</f>
        <v>11.111111111111111</v>
      </c>
      <c r="L12" s="85">
        <f>K12*2</f>
        <v>22.222222222222221</v>
      </c>
      <c r="M12" s="85">
        <f>K12*3</f>
        <v>33.333333333333329</v>
      </c>
      <c r="N12" s="85">
        <f>K12*4</f>
        <v>44.444444444444443</v>
      </c>
      <c r="O12" s="91">
        <f>K12*5</f>
        <v>55.555555555555557</v>
      </c>
      <c r="P12" s="85">
        <f>K12*6</f>
        <v>66.666666666666657</v>
      </c>
      <c r="Q12" s="85">
        <f>K12*7</f>
        <v>77.777777777777771</v>
      </c>
      <c r="R12" s="88">
        <f>K12*8</f>
        <v>88.888888888888886</v>
      </c>
      <c r="S12" s="80">
        <v>1</v>
      </c>
      <c r="T12" s="89"/>
    </row>
    <row r="13" spans="1:243" s="12" customFormat="1" ht="105.75" thickBot="1" x14ac:dyDescent="0.3">
      <c r="A13" s="16" t="s">
        <v>7</v>
      </c>
      <c r="B13" s="16" t="s">
        <v>6</v>
      </c>
      <c r="C13" s="16" t="s">
        <v>5</v>
      </c>
      <c r="D13" s="19">
        <v>100000000</v>
      </c>
      <c r="E13" s="16" t="s">
        <v>4</v>
      </c>
      <c r="F13" s="15">
        <v>45371</v>
      </c>
      <c r="G13" s="15">
        <v>45372</v>
      </c>
      <c r="H13" s="14">
        <v>45504</v>
      </c>
      <c r="I13" s="224"/>
      <c r="J13" s="225"/>
      <c r="K13" s="85">
        <f>(11*100)/131</f>
        <v>8.3969465648854964</v>
      </c>
      <c r="L13" s="85">
        <f>((30*100)/131)+K13</f>
        <v>31.297709923664122</v>
      </c>
      <c r="M13" s="85">
        <f>((30*100)/131)+L13</f>
        <v>54.198473282442748</v>
      </c>
      <c r="N13" s="88">
        <f>((30*100)/131)+M13</f>
        <v>77.099236641221381</v>
      </c>
      <c r="O13" s="80">
        <v>1</v>
      </c>
      <c r="P13" s="243"/>
      <c r="Q13" s="244"/>
      <c r="R13" s="244"/>
      <c r="S13" s="244"/>
      <c r="T13" s="245"/>
    </row>
    <row r="14" spans="1:243" s="12" customFormat="1" ht="90.75" thickBot="1" x14ac:dyDescent="0.3">
      <c r="A14" s="16" t="s">
        <v>3</v>
      </c>
      <c r="B14" s="16" t="s">
        <v>2</v>
      </c>
      <c r="C14" s="16" t="s">
        <v>1</v>
      </c>
      <c r="D14" s="17">
        <v>40500000</v>
      </c>
      <c r="E14" s="16" t="s">
        <v>0</v>
      </c>
      <c r="F14" s="15">
        <v>45372</v>
      </c>
      <c r="G14" s="15">
        <v>45373</v>
      </c>
      <c r="H14" s="14">
        <v>45647</v>
      </c>
      <c r="I14" s="224"/>
      <c r="J14" s="225"/>
      <c r="K14" s="91">
        <f>(11*100)/270</f>
        <v>4.0740740740740744</v>
      </c>
      <c r="L14" s="91">
        <f t="shared" ref="L14:S14" si="1">((30*100)/270)+K14</f>
        <v>15.185185185185185</v>
      </c>
      <c r="M14" s="91">
        <f t="shared" si="1"/>
        <v>26.296296296296298</v>
      </c>
      <c r="N14" s="91">
        <f t="shared" si="1"/>
        <v>37.407407407407405</v>
      </c>
      <c r="O14" s="93">
        <f t="shared" si="1"/>
        <v>48.518518518518519</v>
      </c>
      <c r="P14" s="91">
        <f t="shared" si="1"/>
        <v>59.629629629629633</v>
      </c>
      <c r="Q14" s="91">
        <f t="shared" si="1"/>
        <v>70.740740740740748</v>
      </c>
      <c r="R14" s="92">
        <f t="shared" si="1"/>
        <v>81.851851851851862</v>
      </c>
      <c r="S14" s="197">
        <f t="shared" si="1"/>
        <v>92.962962962962976</v>
      </c>
      <c r="T14" s="80">
        <v>1</v>
      </c>
    </row>
    <row r="15" spans="1:243" s="12" customFormat="1" ht="75.75" thickBot="1" x14ac:dyDescent="0.3">
      <c r="A15" s="16" t="s">
        <v>72</v>
      </c>
      <c r="B15" s="16" t="s">
        <v>73</v>
      </c>
      <c r="C15" s="16" t="s">
        <v>74</v>
      </c>
      <c r="D15" s="19">
        <v>2150000000</v>
      </c>
      <c r="E15" s="16" t="s">
        <v>8</v>
      </c>
      <c r="F15" s="15">
        <v>45393</v>
      </c>
      <c r="G15" s="15">
        <v>45393</v>
      </c>
      <c r="H15" s="15">
        <v>45636</v>
      </c>
      <c r="I15" s="224"/>
      <c r="J15" s="227"/>
      <c r="K15" s="225"/>
      <c r="L15" s="16">
        <f>(1*100)/8</f>
        <v>12.5</v>
      </c>
      <c r="M15" s="16">
        <f t="shared" ref="M15:R15" si="2">((1*100)/8)+L15</f>
        <v>25</v>
      </c>
      <c r="N15" s="16">
        <f t="shared" si="2"/>
        <v>37.5</v>
      </c>
      <c r="O15" s="16">
        <f t="shared" si="2"/>
        <v>50</v>
      </c>
      <c r="P15" s="16">
        <f t="shared" si="2"/>
        <v>62.5</v>
      </c>
      <c r="Q15" s="16">
        <f t="shared" si="2"/>
        <v>75</v>
      </c>
      <c r="R15" s="198">
        <f t="shared" si="2"/>
        <v>87.5</v>
      </c>
      <c r="S15" s="234">
        <v>1</v>
      </c>
      <c r="T15" s="246"/>
    </row>
    <row r="16" spans="1:243" s="12" customFormat="1" ht="90.75" thickBot="1" x14ac:dyDescent="0.3">
      <c r="A16" s="16" t="s">
        <v>76</v>
      </c>
      <c r="B16" s="16" t="s">
        <v>77</v>
      </c>
      <c r="C16" s="16" t="s">
        <v>78</v>
      </c>
      <c r="D16" s="19">
        <v>80000000</v>
      </c>
      <c r="E16" s="16" t="s">
        <v>79</v>
      </c>
      <c r="F16" s="15">
        <v>45397</v>
      </c>
      <c r="G16" s="15">
        <v>45398</v>
      </c>
      <c r="H16" s="15">
        <v>45611</v>
      </c>
      <c r="I16" s="224"/>
      <c r="J16" s="227"/>
      <c r="K16" s="225"/>
      <c r="L16" s="85">
        <f>(1*100)/7</f>
        <v>14.285714285714286</v>
      </c>
      <c r="M16" s="85">
        <f>((1*100)/7)+L16</f>
        <v>28.571428571428573</v>
      </c>
      <c r="N16" s="85">
        <f>((1*100)/7)+M16</f>
        <v>42.857142857142861</v>
      </c>
      <c r="O16" s="85">
        <f>((1*100)/7)+N16</f>
        <v>57.142857142857146</v>
      </c>
      <c r="P16" s="85">
        <f>((1*100)/7)+O16</f>
        <v>71.428571428571431</v>
      </c>
      <c r="Q16" s="88">
        <f>((1*100)/7)+P16</f>
        <v>85.714285714285722</v>
      </c>
      <c r="R16" s="234">
        <v>1</v>
      </c>
      <c r="S16" s="247"/>
      <c r="T16" s="97"/>
    </row>
    <row r="17" spans="1:20" s="12" customFormat="1" ht="124.5" customHeight="1" thickBot="1" x14ac:dyDescent="0.3">
      <c r="A17" s="16" t="s">
        <v>81</v>
      </c>
      <c r="B17" s="16" t="s">
        <v>82</v>
      </c>
      <c r="C17" s="16" t="s">
        <v>83</v>
      </c>
      <c r="D17" s="19">
        <v>650000000</v>
      </c>
      <c r="E17" s="16" t="s">
        <v>8</v>
      </c>
      <c r="F17" s="15">
        <v>45412</v>
      </c>
      <c r="G17" s="15">
        <v>45412</v>
      </c>
      <c r="H17" s="15">
        <v>45655</v>
      </c>
      <c r="I17" s="224"/>
      <c r="J17" s="227"/>
      <c r="K17" s="225"/>
      <c r="L17" s="298">
        <f>(1*100)/8</f>
        <v>12.5</v>
      </c>
      <c r="M17" s="299"/>
      <c r="N17" s="16">
        <f>((1*100)/8)+12.5</f>
        <v>25</v>
      </c>
      <c r="O17" s="16">
        <f>((1*100)/8)+N17</f>
        <v>37.5</v>
      </c>
      <c r="P17" s="16">
        <f>((1*100)/8)+O17</f>
        <v>50</v>
      </c>
      <c r="Q17" s="16">
        <f>((1*100)/8)+P17</f>
        <v>62.5</v>
      </c>
      <c r="R17" s="95">
        <f>((1*100)/8)+Q17</f>
        <v>75</v>
      </c>
      <c r="S17" s="95">
        <f>((1*100)/8)+R17</f>
        <v>87.5</v>
      </c>
      <c r="T17" s="80">
        <v>1</v>
      </c>
    </row>
    <row r="18" spans="1:20" s="12" customFormat="1" ht="113.25" customHeight="1" thickBot="1" x14ac:dyDescent="0.3">
      <c r="A18" s="16" t="s">
        <v>84</v>
      </c>
      <c r="B18" s="16" t="s">
        <v>85</v>
      </c>
      <c r="C18" s="16" t="s">
        <v>86</v>
      </c>
      <c r="D18" s="19">
        <v>40000000</v>
      </c>
      <c r="E18" s="16" t="s">
        <v>87</v>
      </c>
      <c r="F18" s="15">
        <v>45414</v>
      </c>
      <c r="G18" s="15">
        <v>45414</v>
      </c>
      <c r="H18" s="15">
        <v>45657</v>
      </c>
      <c r="I18" s="224"/>
      <c r="J18" s="227"/>
      <c r="K18" s="227"/>
      <c r="L18" s="225"/>
      <c r="M18" s="85">
        <f>(30*100)/240</f>
        <v>12.5</v>
      </c>
      <c r="N18" s="85">
        <f t="shared" ref="N18:S19" si="3">((30*100)/240)+M18</f>
        <v>25</v>
      </c>
      <c r="O18" s="85">
        <f t="shared" si="3"/>
        <v>37.5</v>
      </c>
      <c r="P18" s="85">
        <f t="shared" si="3"/>
        <v>50</v>
      </c>
      <c r="Q18" s="85">
        <f t="shared" si="3"/>
        <v>62.5</v>
      </c>
      <c r="R18" s="13">
        <f t="shared" si="3"/>
        <v>75</v>
      </c>
      <c r="S18" s="13">
        <f t="shared" si="3"/>
        <v>87.5</v>
      </c>
      <c r="T18" s="80">
        <v>1</v>
      </c>
    </row>
    <row r="19" spans="1:20" s="99" customFormat="1" ht="120" customHeight="1" thickBot="1" x14ac:dyDescent="0.25">
      <c r="A19" s="16" t="s">
        <v>88</v>
      </c>
      <c r="B19" s="16" t="s">
        <v>89</v>
      </c>
      <c r="C19" s="16" t="s">
        <v>90</v>
      </c>
      <c r="D19" s="19">
        <v>36000000</v>
      </c>
      <c r="E19" s="16" t="s">
        <v>8</v>
      </c>
      <c r="F19" s="15">
        <v>45414</v>
      </c>
      <c r="G19" s="15">
        <v>45414</v>
      </c>
      <c r="H19" s="15">
        <v>45657</v>
      </c>
      <c r="I19" s="228"/>
      <c r="J19" s="229"/>
      <c r="K19" s="229"/>
      <c r="L19" s="230"/>
      <c r="M19" s="85">
        <f>(1*100)/8</f>
        <v>12.5</v>
      </c>
      <c r="N19" s="85">
        <f t="shared" si="3"/>
        <v>25</v>
      </c>
      <c r="O19" s="85">
        <f t="shared" si="3"/>
        <v>37.5</v>
      </c>
      <c r="P19" s="85">
        <f t="shared" si="3"/>
        <v>50</v>
      </c>
      <c r="Q19" s="85">
        <f t="shared" si="3"/>
        <v>62.5</v>
      </c>
      <c r="R19" s="13">
        <f t="shared" si="3"/>
        <v>75</v>
      </c>
      <c r="S19" s="13">
        <f t="shared" si="3"/>
        <v>87.5</v>
      </c>
      <c r="T19" s="80">
        <v>1</v>
      </c>
    </row>
    <row r="20" spans="1:20" s="29" customFormat="1" ht="120.75" customHeight="1" thickBot="1" x14ac:dyDescent="0.3">
      <c r="A20" s="16" t="s">
        <v>91</v>
      </c>
      <c r="B20" s="16" t="s">
        <v>92</v>
      </c>
      <c r="C20" s="16" t="s">
        <v>93</v>
      </c>
      <c r="D20" s="19">
        <v>35850000</v>
      </c>
      <c r="E20" s="16" t="s">
        <v>94</v>
      </c>
      <c r="F20" s="15">
        <v>45415</v>
      </c>
      <c r="G20" s="15">
        <v>45415</v>
      </c>
      <c r="H20" s="15">
        <v>45657</v>
      </c>
      <c r="I20" s="231"/>
      <c r="J20" s="232"/>
      <c r="K20" s="232"/>
      <c r="L20" s="233"/>
      <c r="M20" s="85">
        <f>(29*100)/239</f>
        <v>12.133891213389122</v>
      </c>
      <c r="N20" s="85">
        <f t="shared" ref="N20:S20" si="4">((30*100)/239)+M20</f>
        <v>24.686192468619247</v>
      </c>
      <c r="O20" s="85">
        <f t="shared" si="4"/>
        <v>37.238493723849373</v>
      </c>
      <c r="P20" s="85">
        <f t="shared" si="4"/>
        <v>49.7907949790795</v>
      </c>
      <c r="Q20" s="85">
        <f t="shared" si="4"/>
        <v>62.343096234309627</v>
      </c>
      <c r="R20" s="13">
        <f t="shared" si="4"/>
        <v>74.895397489539747</v>
      </c>
      <c r="S20" s="92">
        <f t="shared" si="4"/>
        <v>87.447698744769866</v>
      </c>
      <c r="T20" s="100">
        <v>1</v>
      </c>
    </row>
    <row r="21" spans="1:20" s="29" customFormat="1" ht="90.75" thickBot="1" x14ac:dyDescent="0.3">
      <c r="A21" s="30" t="s">
        <v>96</v>
      </c>
      <c r="B21" s="16" t="s">
        <v>97</v>
      </c>
      <c r="C21" s="16" t="s">
        <v>98</v>
      </c>
      <c r="D21" s="34">
        <v>55981000</v>
      </c>
      <c r="E21" s="16" t="s">
        <v>99</v>
      </c>
      <c r="F21" s="32">
        <v>45468</v>
      </c>
      <c r="G21" s="32">
        <v>45468</v>
      </c>
      <c r="H21" s="32">
        <v>45650</v>
      </c>
      <c r="I21" s="231"/>
      <c r="J21" s="232"/>
      <c r="K21" s="232"/>
      <c r="L21" s="232"/>
      <c r="M21" s="233"/>
      <c r="N21" s="60">
        <f>(1*100)/6</f>
        <v>16.666666666666668</v>
      </c>
      <c r="O21" s="85">
        <f>((1*100)/6)+N21</f>
        <v>33.333333333333336</v>
      </c>
      <c r="P21" s="85">
        <f>((1*100)/6)+O21</f>
        <v>50</v>
      </c>
      <c r="Q21" s="85">
        <f>((1*100)/6)+P21</f>
        <v>66.666666666666671</v>
      </c>
      <c r="R21" s="185">
        <f>((1*100)/6)+Q21</f>
        <v>83.333333333333343</v>
      </c>
      <c r="S21" s="234">
        <v>1</v>
      </c>
      <c r="T21" s="235"/>
    </row>
    <row r="22" spans="1:20" s="29" customFormat="1" ht="60.75" thickBot="1" x14ac:dyDescent="0.3">
      <c r="A22" s="30" t="s">
        <v>106</v>
      </c>
      <c r="B22" s="16" t="s">
        <v>107</v>
      </c>
      <c r="C22" s="16" t="s">
        <v>108</v>
      </c>
      <c r="D22" s="199">
        <v>31900000</v>
      </c>
      <c r="E22" s="16" t="s">
        <v>109</v>
      </c>
      <c r="F22" s="32">
        <v>45481</v>
      </c>
      <c r="G22" s="32">
        <v>45481</v>
      </c>
      <c r="H22" s="32">
        <v>45657</v>
      </c>
      <c r="I22" s="231"/>
      <c r="J22" s="232"/>
      <c r="K22" s="232"/>
      <c r="L22" s="232"/>
      <c r="M22" s="232"/>
      <c r="N22" s="233"/>
      <c r="O22" s="60">
        <f>((24*100)/174)</f>
        <v>13.793103448275861</v>
      </c>
      <c r="P22" s="60">
        <f>((30*100)/174)+O22</f>
        <v>31.03448275862069</v>
      </c>
      <c r="Q22" s="60">
        <f>((30*100)/174)+P22</f>
        <v>48.275862068965523</v>
      </c>
      <c r="R22" s="23">
        <f>((30*100)/174)+Q22</f>
        <v>65.517241379310349</v>
      </c>
      <c r="S22" s="193">
        <f>((30*100)/174)+R22</f>
        <v>82.758620689655174</v>
      </c>
      <c r="T22" s="80">
        <v>1</v>
      </c>
    </row>
    <row r="23" spans="1:20" s="29" customFormat="1" ht="120.75" customHeight="1" thickBot="1" x14ac:dyDescent="0.3">
      <c r="A23" s="30" t="s">
        <v>110</v>
      </c>
      <c r="B23" s="16" t="s">
        <v>25</v>
      </c>
      <c r="C23" s="16" t="s">
        <v>111</v>
      </c>
      <c r="D23" s="199">
        <v>27500000</v>
      </c>
      <c r="E23" s="16" t="s">
        <v>112</v>
      </c>
      <c r="F23" s="32">
        <v>45490</v>
      </c>
      <c r="G23" s="32">
        <v>45490</v>
      </c>
      <c r="H23" s="32">
        <v>45657</v>
      </c>
      <c r="I23" s="231"/>
      <c r="J23" s="232"/>
      <c r="K23" s="232"/>
      <c r="L23" s="232"/>
      <c r="M23" s="232"/>
      <c r="N23" s="233"/>
      <c r="O23" s="60">
        <f>((15*100)/165)</f>
        <v>9.0909090909090917</v>
      </c>
      <c r="P23" s="60">
        <f>((30*100)/165)+O23</f>
        <v>27.272727272727273</v>
      </c>
      <c r="Q23" s="60">
        <f>((30*100)/165)+P23</f>
        <v>45.454545454545453</v>
      </c>
      <c r="R23" s="23">
        <f>((30*100)/165)+Q23</f>
        <v>63.63636363636364</v>
      </c>
      <c r="S23" s="200">
        <f>((30*100)/165)+R23</f>
        <v>81.818181818181827</v>
      </c>
      <c r="T23" s="100">
        <v>1</v>
      </c>
    </row>
    <row r="24" spans="1:20" s="29" customFormat="1" ht="104.25" customHeight="1" thickBot="1" x14ac:dyDescent="0.3">
      <c r="A24" s="30" t="s">
        <v>113</v>
      </c>
      <c r="B24" s="16" t="s">
        <v>114</v>
      </c>
      <c r="C24" s="16" t="s">
        <v>115</v>
      </c>
      <c r="D24" s="199">
        <v>100000000</v>
      </c>
      <c r="E24" s="16" t="s">
        <v>116</v>
      </c>
      <c r="F24" s="32">
        <v>45492</v>
      </c>
      <c r="G24" s="32">
        <v>45496</v>
      </c>
      <c r="H24" s="32">
        <v>45648</v>
      </c>
      <c r="I24" s="231"/>
      <c r="J24" s="232"/>
      <c r="K24" s="232"/>
      <c r="L24" s="232"/>
      <c r="M24" s="232"/>
      <c r="N24" s="233"/>
      <c r="O24" s="30">
        <f>(1*100)/5</f>
        <v>20</v>
      </c>
      <c r="P24" s="30">
        <f>((1*100)/5)+O24</f>
        <v>40</v>
      </c>
      <c r="Q24" s="30">
        <f>((1*100)/5)+P24</f>
        <v>60</v>
      </c>
      <c r="R24" s="201">
        <f>((1*100)/5)+Q24</f>
        <v>80</v>
      </c>
      <c r="S24" s="234">
        <v>1</v>
      </c>
      <c r="T24" s="235"/>
    </row>
    <row r="25" spans="1:20" s="29" customFormat="1" ht="90.75" customHeight="1" thickBot="1" x14ac:dyDescent="0.3">
      <c r="A25" s="30" t="s">
        <v>117</v>
      </c>
      <c r="B25" s="16" t="s">
        <v>118</v>
      </c>
      <c r="C25" s="16" t="s">
        <v>47</v>
      </c>
      <c r="D25" s="199" t="s">
        <v>119</v>
      </c>
      <c r="E25" s="16" t="s">
        <v>120</v>
      </c>
      <c r="F25" s="32">
        <v>45518</v>
      </c>
      <c r="G25" s="32">
        <v>45518</v>
      </c>
      <c r="H25" s="32">
        <v>45883</v>
      </c>
      <c r="I25" s="231"/>
      <c r="J25" s="232"/>
      <c r="K25" s="232"/>
      <c r="L25" s="232"/>
      <c r="M25" s="232"/>
      <c r="N25" s="232"/>
      <c r="O25" s="233"/>
      <c r="P25" s="60">
        <f>(1*100)/12</f>
        <v>8.3333333333333339</v>
      </c>
      <c r="Q25" s="60">
        <f>((1*100)/12)+P25</f>
        <v>16.666666666666668</v>
      </c>
      <c r="R25" s="23">
        <f>((1*100)/12)+Q25</f>
        <v>25</v>
      </c>
      <c r="S25" s="23">
        <f>((1*100)/12)+R25</f>
        <v>33.333333333333336</v>
      </c>
      <c r="T25" s="23">
        <f>((1*100)/12)+S25</f>
        <v>41.666666666666671</v>
      </c>
    </row>
    <row r="26" spans="1:20" s="29" customFormat="1" ht="75.75" customHeight="1" thickBot="1" x14ac:dyDescent="0.3">
      <c r="A26" s="30" t="s">
        <v>121</v>
      </c>
      <c r="B26" s="16" t="s">
        <v>122</v>
      </c>
      <c r="C26" s="16" t="s">
        <v>123</v>
      </c>
      <c r="D26" s="199" t="s">
        <v>124</v>
      </c>
      <c r="E26" s="30" t="s">
        <v>125</v>
      </c>
      <c r="F26" s="32">
        <v>45518</v>
      </c>
      <c r="G26" s="32">
        <v>45518</v>
      </c>
      <c r="H26" s="32">
        <v>45609</v>
      </c>
      <c r="I26" s="231"/>
      <c r="J26" s="232"/>
      <c r="K26" s="232"/>
      <c r="L26" s="232"/>
      <c r="M26" s="232"/>
      <c r="N26" s="232"/>
      <c r="O26" s="233"/>
      <c r="P26" s="85">
        <f>(1*100)/3</f>
        <v>33.333333333333336</v>
      </c>
      <c r="Q26" s="60">
        <f>((1*100)/3)+P26</f>
        <v>66.666666666666671</v>
      </c>
      <c r="R26" s="100">
        <v>1</v>
      </c>
      <c r="S26" s="316"/>
      <c r="T26" s="317"/>
    </row>
    <row r="27" spans="1:20" s="29" customFormat="1" ht="126" customHeight="1" thickBot="1" x14ac:dyDescent="0.3">
      <c r="A27" s="30" t="s">
        <v>126</v>
      </c>
      <c r="B27" s="16" t="s">
        <v>127</v>
      </c>
      <c r="C27" s="16" t="s">
        <v>128</v>
      </c>
      <c r="D27" s="199">
        <v>100000000</v>
      </c>
      <c r="E27" s="16" t="s">
        <v>129</v>
      </c>
      <c r="F27" s="32">
        <v>45520</v>
      </c>
      <c r="G27" s="32">
        <v>45520</v>
      </c>
      <c r="H27" s="32">
        <v>45641</v>
      </c>
      <c r="I27" s="231"/>
      <c r="J27" s="232"/>
      <c r="K27" s="232"/>
      <c r="L27" s="232"/>
      <c r="M27" s="232"/>
      <c r="N27" s="232"/>
      <c r="O27" s="233"/>
      <c r="P27" s="16">
        <f>(1*100)/4</f>
        <v>25</v>
      </c>
      <c r="Q27" s="60">
        <f>((1*100)/4)+P27</f>
        <v>50</v>
      </c>
      <c r="R27" s="193">
        <f>((1*100)/4)+Q27</f>
        <v>75</v>
      </c>
      <c r="S27" s="234">
        <v>1</v>
      </c>
      <c r="T27" s="235"/>
    </row>
    <row r="28" spans="1:20" s="29" customFormat="1" ht="105.75" customHeight="1" thickBot="1" x14ac:dyDescent="0.3">
      <c r="A28" s="30" t="s">
        <v>130</v>
      </c>
      <c r="B28" s="16" t="s">
        <v>131</v>
      </c>
      <c r="C28" s="16" t="s">
        <v>132</v>
      </c>
      <c r="D28" s="199">
        <v>12950000</v>
      </c>
      <c r="E28" s="16" t="s">
        <v>133</v>
      </c>
      <c r="F28" s="32">
        <v>45551</v>
      </c>
      <c r="G28" s="32">
        <v>45551</v>
      </c>
      <c r="H28" s="32">
        <v>45657</v>
      </c>
      <c r="I28" s="231"/>
      <c r="J28" s="232"/>
      <c r="K28" s="232"/>
      <c r="L28" s="232"/>
      <c r="M28" s="232"/>
      <c r="N28" s="232"/>
      <c r="O28" s="232"/>
      <c r="P28" s="233"/>
      <c r="Q28" s="60">
        <f>(15*100)/105</f>
        <v>14.285714285714286</v>
      </c>
      <c r="R28" s="23">
        <f>((30*100)/105)+Q28</f>
        <v>42.857142857142861</v>
      </c>
      <c r="S28" s="23">
        <f>((30*100)/105)+R28</f>
        <v>71.428571428571431</v>
      </c>
      <c r="T28" s="100">
        <v>1</v>
      </c>
    </row>
    <row r="29" spans="1:20" s="29" customFormat="1" ht="120.75" thickBot="1" x14ac:dyDescent="0.3">
      <c r="A29" s="30" t="s">
        <v>134</v>
      </c>
      <c r="B29" s="16" t="s">
        <v>135</v>
      </c>
      <c r="C29" s="16" t="s">
        <v>136</v>
      </c>
      <c r="D29" s="199">
        <v>100000000</v>
      </c>
      <c r="E29" s="16" t="s">
        <v>137</v>
      </c>
      <c r="F29" s="32">
        <v>45561</v>
      </c>
      <c r="G29" s="32">
        <v>45561</v>
      </c>
      <c r="H29" s="32">
        <v>45575</v>
      </c>
      <c r="I29" s="231"/>
      <c r="J29" s="232"/>
      <c r="K29" s="232"/>
      <c r="L29" s="232"/>
      <c r="M29" s="232"/>
      <c r="N29" s="232"/>
      <c r="O29" s="232"/>
      <c r="P29" s="318"/>
      <c r="Q29" s="234">
        <v>1</v>
      </c>
      <c r="R29" s="235"/>
      <c r="S29" s="319"/>
      <c r="T29" s="233"/>
    </row>
    <row r="30" spans="1:20" s="323" customFormat="1" ht="80.25" customHeight="1" thickBot="1" x14ac:dyDescent="0.25">
      <c r="A30" s="30" t="s">
        <v>146</v>
      </c>
      <c r="B30" s="16" t="s">
        <v>147</v>
      </c>
      <c r="C30" s="16" t="s">
        <v>148</v>
      </c>
      <c r="D30" s="17">
        <v>207000000</v>
      </c>
      <c r="E30" s="16" t="s">
        <v>149</v>
      </c>
      <c r="F30" s="32">
        <v>45583</v>
      </c>
      <c r="G30" s="32">
        <v>45583</v>
      </c>
      <c r="H30" s="32">
        <v>45653</v>
      </c>
      <c r="I30" s="320"/>
      <c r="J30" s="321"/>
      <c r="K30" s="321"/>
      <c r="L30" s="321"/>
      <c r="M30" s="321"/>
      <c r="N30" s="321"/>
      <c r="O30" s="321"/>
      <c r="P30" s="321"/>
      <c r="Q30" s="322"/>
      <c r="R30" s="13">
        <f>(13*100)/70</f>
        <v>18.571428571428573</v>
      </c>
      <c r="S30" s="92">
        <f>((30*100)/70)+R30</f>
        <v>61.428571428571431</v>
      </c>
      <c r="T30" s="100">
        <v>1</v>
      </c>
    </row>
    <row r="31" spans="1:20" s="29" customFormat="1" ht="99" customHeight="1" thickBot="1" x14ac:dyDescent="0.3">
      <c r="A31" s="30" t="s">
        <v>150</v>
      </c>
      <c r="B31" s="16" t="s">
        <v>151</v>
      </c>
      <c r="C31" s="16" t="s">
        <v>152</v>
      </c>
      <c r="D31" s="17">
        <v>100000000</v>
      </c>
      <c r="E31" s="30" t="s">
        <v>153</v>
      </c>
      <c r="F31" s="32">
        <v>45617</v>
      </c>
      <c r="G31" s="32">
        <v>45618</v>
      </c>
      <c r="H31" s="32">
        <v>45647</v>
      </c>
      <c r="I31" s="324"/>
      <c r="J31" s="325"/>
      <c r="K31" s="325"/>
      <c r="L31" s="325"/>
      <c r="M31" s="325"/>
      <c r="N31" s="325"/>
      <c r="O31" s="325"/>
      <c r="P31" s="325"/>
      <c r="Q31" s="325"/>
      <c r="R31" s="326"/>
      <c r="S31" s="327" t="s">
        <v>160</v>
      </c>
      <c r="T31" s="328"/>
    </row>
    <row r="32" spans="1:20" s="29" customFormat="1" ht="112.5" customHeight="1" thickBot="1" x14ac:dyDescent="0.3">
      <c r="A32" s="191" t="s">
        <v>154</v>
      </c>
      <c r="B32" s="203" t="s">
        <v>127</v>
      </c>
      <c r="C32" s="203" t="s">
        <v>155</v>
      </c>
      <c r="D32" s="19">
        <v>266220000</v>
      </c>
      <c r="E32" s="203" t="s">
        <v>156</v>
      </c>
      <c r="F32" s="204">
        <v>45631</v>
      </c>
      <c r="G32" s="204">
        <v>45631</v>
      </c>
      <c r="H32" s="204">
        <v>45650</v>
      </c>
      <c r="I32" s="320"/>
      <c r="J32" s="321"/>
      <c r="K32" s="321"/>
      <c r="L32" s="321"/>
      <c r="M32" s="321"/>
      <c r="N32" s="321"/>
      <c r="O32" s="321"/>
      <c r="P32" s="321"/>
      <c r="Q32" s="321"/>
      <c r="R32" s="321"/>
      <c r="S32" s="322"/>
      <c r="T32" s="100">
        <v>1</v>
      </c>
    </row>
    <row r="33" spans="1:20" s="29" customFormat="1" ht="121.5" customHeight="1" thickBot="1" x14ac:dyDescent="0.3">
      <c r="A33" s="30" t="s">
        <v>157</v>
      </c>
      <c r="B33" s="16" t="s">
        <v>158</v>
      </c>
      <c r="C33" s="16" t="s">
        <v>159</v>
      </c>
      <c r="D33" s="17">
        <v>20000000</v>
      </c>
      <c r="E33" s="16" t="s">
        <v>156</v>
      </c>
      <c r="F33" s="32">
        <v>45635</v>
      </c>
      <c r="G33" s="32">
        <v>45635</v>
      </c>
      <c r="H33" s="32">
        <v>45654</v>
      </c>
      <c r="I33" s="324"/>
      <c r="J33" s="325"/>
      <c r="K33" s="325"/>
      <c r="L33" s="325"/>
      <c r="M33" s="325"/>
      <c r="N33" s="325"/>
      <c r="O33" s="325"/>
      <c r="P33" s="325"/>
      <c r="Q33" s="325"/>
      <c r="R33" s="325"/>
      <c r="S33" s="329"/>
      <c r="T33" s="80">
        <v>1</v>
      </c>
    </row>
    <row r="34" spans="1:20" s="330" customFormat="1" x14ac:dyDescent="0.2">
      <c r="B34" s="331"/>
      <c r="D34" s="332"/>
      <c r="F34" s="333"/>
      <c r="G34" s="334"/>
      <c r="H34" s="334"/>
    </row>
    <row r="35" spans="1:20" s="330" customFormat="1" x14ac:dyDescent="0.2">
      <c r="B35" s="331"/>
      <c r="D35" s="332"/>
      <c r="F35" s="333"/>
      <c r="G35" s="334"/>
      <c r="H35" s="334"/>
    </row>
    <row r="36" spans="1:20" s="330" customFormat="1" x14ac:dyDescent="0.2">
      <c r="B36" s="331"/>
      <c r="D36" s="332"/>
      <c r="F36" s="333"/>
      <c r="G36" s="334"/>
      <c r="H36" s="334"/>
    </row>
    <row r="37" spans="1:20" s="330" customFormat="1" x14ac:dyDescent="0.2">
      <c r="B37" s="331"/>
      <c r="D37" s="332"/>
      <c r="F37" s="333"/>
      <c r="G37" s="334"/>
      <c r="H37" s="334"/>
    </row>
    <row r="38" spans="1:20" s="330" customFormat="1" x14ac:dyDescent="0.2">
      <c r="B38" s="331"/>
      <c r="D38" s="332"/>
      <c r="F38" s="333"/>
      <c r="G38" s="334"/>
      <c r="H38" s="334"/>
    </row>
    <row r="39" spans="1:20" s="330" customFormat="1" x14ac:dyDescent="0.2">
      <c r="B39" s="331"/>
      <c r="D39" s="332"/>
      <c r="F39" s="333"/>
      <c r="G39" s="334"/>
      <c r="H39" s="334"/>
    </row>
    <row r="40" spans="1:20" s="330" customFormat="1" x14ac:dyDescent="0.2">
      <c r="B40" s="331"/>
      <c r="D40" s="332"/>
      <c r="F40" s="333"/>
      <c r="G40" s="334"/>
      <c r="H40" s="334"/>
    </row>
    <row r="41" spans="1:20" s="330" customFormat="1" x14ac:dyDescent="0.2">
      <c r="B41" s="331"/>
      <c r="D41" s="332"/>
      <c r="F41" s="333"/>
      <c r="G41" s="334"/>
      <c r="H41" s="334"/>
    </row>
    <row r="42" spans="1:20" s="330" customFormat="1" x14ac:dyDescent="0.2">
      <c r="B42" s="331"/>
      <c r="D42" s="332"/>
      <c r="F42" s="333"/>
      <c r="G42" s="334"/>
      <c r="H42" s="334"/>
    </row>
    <row r="43" spans="1:20" s="330" customFormat="1" x14ac:dyDescent="0.2">
      <c r="B43" s="331"/>
      <c r="D43" s="332"/>
      <c r="F43" s="333"/>
      <c r="G43" s="334"/>
      <c r="H43" s="334"/>
    </row>
    <row r="44" spans="1:20" s="330" customFormat="1" x14ac:dyDescent="0.2">
      <c r="B44" s="331"/>
      <c r="D44" s="332"/>
      <c r="F44" s="333"/>
      <c r="G44" s="334"/>
      <c r="H44" s="334"/>
    </row>
    <row r="45" spans="1:20" s="330" customFormat="1" x14ac:dyDescent="0.2">
      <c r="B45" s="331"/>
      <c r="D45" s="332"/>
      <c r="F45" s="333"/>
      <c r="G45" s="334"/>
      <c r="H45" s="334"/>
    </row>
    <row r="46" spans="1:20" s="330" customFormat="1" x14ac:dyDescent="0.2">
      <c r="B46" s="331"/>
      <c r="D46" s="332"/>
      <c r="F46" s="333"/>
      <c r="G46" s="334"/>
      <c r="H46" s="334"/>
    </row>
    <row r="47" spans="1:20" s="330" customFormat="1" x14ac:dyDescent="0.2">
      <c r="B47" s="331"/>
      <c r="D47" s="332"/>
      <c r="F47" s="333"/>
      <c r="G47" s="334"/>
      <c r="H47" s="334"/>
    </row>
    <row r="48" spans="1:20" s="330" customFormat="1" x14ac:dyDescent="0.2">
      <c r="B48" s="331"/>
      <c r="D48" s="332"/>
      <c r="F48" s="333"/>
      <c r="G48" s="334"/>
      <c r="H48" s="334"/>
    </row>
    <row r="49" spans="2:8" s="330" customFormat="1" x14ac:dyDescent="0.2">
      <c r="B49" s="331"/>
      <c r="D49" s="332"/>
      <c r="F49" s="333"/>
      <c r="G49" s="334"/>
      <c r="H49" s="334"/>
    </row>
    <row r="50" spans="2:8" s="330" customFormat="1" x14ac:dyDescent="0.2">
      <c r="B50" s="331"/>
      <c r="D50" s="332"/>
      <c r="F50" s="333"/>
      <c r="G50" s="334"/>
      <c r="H50" s="334"/>
    </row>
    <row r="51" spans="2:8" s="330" customFormat="1" x14ac:dyDescent="0.2">
      <c r="B51" s="331"/>
      <c r="D51" s="332"/>
      <c r="F51" s="333"/>
      <c r="G51" s="334"/>
      <c r="H51" s="334"/>
    </row>
    <row r="52" spans="2:8" s="330" customFormat="1" x14ac:dyDescent="0.2">
      <c r="B52" s="331"/>
      <c r="D52" s="332"/>
      <c r="F52" s="333"/>
      <c r="G52" s="334"/>
      <c r="H52" s="334"/>
    </row>
    <row r="53" spans="2:8" s="330" customFormat="1" x14ac:dyDescent="0.2">
      <c r="B53" s="331"/>
      <c r="D53" s="332"/>
      <c r="F53" s="333"/>
      <c r="G53" s="334"/>
      <c r="H53" s="334"/>
    </row>
    <row r="54" spans="2:8" s="330" customFormat="1" x14ac:dyDescent="0.2">
      <c r="B54" s="331"/>
      <c r="D54" s="332"/>
      <c r="F54" s="333"/>
      <c r="G54" s="334"/>
      <c r="H54" s="334"/>
    </row>
    <row r="55" spans="2:8" s="330" customFormat="1" x14ac:dyDescent="0.2">
      <c r="B55" s="331"/>
      <c r="D55" s="332"/>
      <c r="F55" s="333"/>
      <c r="G55" s="334"/>
      <c r="H55" s="334"/>
    </row>
    <row r="56" spans="2:8" s="330" customFormat="1" x14ac:dyDescent="0.2">
      <c r="B56" s="331"/>
      <c r="D56" s="332"/>
      <c r="F56" s="333"/>
      <c r="G56" s="334"/>
      <c r="H56" s="334"/>
    </row>
    <row r="57" spans="2:8" s="330" customFormat="1" x14ac:dyDescent="0.2">
      <c r="B57" s="331"/>
      <c r="D57" s="332"/>
      <c r="F57" s="333"/>
      <c r="G57" s="334"/>
      <c r="H57" s="334"/>
    </row>
    <row r="58" spans="2:8" s="330" customFormat="1" x14ac:dyDescent="0.2">
      <c r="B58" s="331"/>
      <c r="D58" s="332"/>
      <c r="F58" s="333"/>
      <c r="G58" s="334"/>
      <c r="H58" s="334"/>
    </row>
    <row r="59" spans="2:8" s="330" customFormat="1" x14ac:dyDescent="0.2">
      <c r="B59" s="331"/>
      <c r="D59" s="332"/>
      <c r="F59" s="333"/>
      <c r="G59" s="334"/>
      <c r="H59" s="334"/>
    </row>
    <row r="60" spans="2:8" s="330" customFormat="1" x14ac:dyDescent="0.2">
      <c r="B60" s="331"/>
      <c r="D60" s="332"/>
      <c r="F60" s="333"/>
      <c r="G60" s="334"/>
      <c r="H60" s="334"/>
    </row>
    <row r="61" spans="2:8" s="330" customFormat="1" x14ac:dyDescent="0.2">
      <c r="B61" s="331"/>
      <c r="D61" s="332"/>
      <c r="F61" s="333"/>
      <c r="G61" s="334"/>
      <c r="H61" s="334"/>
    </row>
    <row r="62" spans="2:8" s="330" customFormat="1" x14ac:dyDescent="0.2">
      <c r="B62" s="331"/>
      <c r="D62" s="332"/>
      <c r="F62" s="333"/>
      <c r="G62" s="334"/>
      <c r="H62" s="334"/>
    </row>
    <row r="63" spans="2:8" s="330" customFormat="1" x14ac:dyDescent="0.2">
      <c r="B63" s="331"/>
      <c r="D63" s="332"/>
      <c r="F63" s="333"/>
      <c r="G63" s="334"/>
      <c r="H63" s="334"/>
    </row>
    <row r="64" spans="2:8" s="330" customFormat="1" x14ac:dyDescent="0.2">
      <c r="B64" s="331"/>
      <c r="D64" s="332"/>
      <c r="F64" s="333"/>
      <c r="G64" s="334"/>
      <c r="H64" s="334"/>
    </row>
    <row r="65" spans="2:8" s="330" customFormat="1" x14ac:dyDescent="0.2">
      <c r="B65" s="331"/>
      <c r="D65" s="332"/>
      <c r="F65" s="333"/>
      <c r="G65" s="334"/>
      <c r="H65" s="334"/>
    </row>
    <row r="66" spans="2:8" s="330" customFormat="1" x14ac:dyDescent="0.2">
      <c r="B66" s="331"/>
      <c r="D66" s="332"/>
      <c r="F66" s="333"/>
      <c r="G66" s="334"/>
      <c r="H66" s="334"/>
    </row>
    <row r="67" spans="2:8" s="330" customFormat="1" x14ac:dyDescent="0.2">
      <c r="B67" s="331"/>
      <c r="D67" s="332"/>
      <c r="F67" s="333"/>
      <c r="G67" s="334"/>
      <c r="H67" s="334"/>
    </row>
    <row r="68" spans="2:8" s="330" customFormat="1" x14ac:dyDescent="0.2">
      <c r="B68" s="331"/>
      <c r="D68" s="332"/>
      <c r="F68" s="333"/>
      <c r="G68" s="334"/>
      <c r="H68" s="334"/>
    </row>
    <row r="69" spans="2:8" s="330" customFormat="1" x14ac:dyDescent="0.2">
      <c r="B69" s="331"/>
      <c r="D69" s="332"/>
      <c r="F69" s="333"/>
      <c r="G69" s="334"/>
      <c r="H69" s="334"/>
    </row>
    <row r="70" spans="2:8" s="330" customFormat="1" x14ac:dyDescent="0.2">
      <c r="B70" s="331"/>
      <c r="D70" s="332"/>
      <c r="F70" s="333"/>
      <c r="G70" s="334"/>
      <c r="H70" s="334"/>
    </row>
    <row r="71" spans="2:8" s="330" customFormat="1" x14ac:dyDescent="0.2">
      <c r="B71" s="331"/>
      <c r="D71" s="332"/>
      <c r="F71" s="333"/>
      <c r="G71" s="334"/>
      <c r="H71" s="334"/>
    </row>
    <row r="72" spans="2:8" s="330" customFormat="1" x14ac:dyDescent="0.2">
      <c r="B72" s="331"/>
      <c r="D72" s="332"/>
      <c r="F72" s="333"/>
      <c r="G72" s="334"/>
      <c r="H72" s="334"/>
    </row>
    <row r="73" spans="2:8" s="330" customFormat="1" x14ac:dyDescent="0.2">
      <c r="B73" s="331"/>
      <c r="D73" s="332"/>
      <c r="F73" s="333"/>
      <c r="G73" s="334"/>
      <c r="H73" s="334"/>
    </row>
    <row r="74" spans="2:8" s="330" customFormat="1" x14ac:dyDescent="0.2">
      <c r="B74" s="331"/>
      <c r="D74" s="332"/>
      <c r="F74" s="333"/>
      <c r="G74" s="334"/>
      <c r="H74" s="334"/>
    </row>
    <row r="75" spans="2:8" s="330" customFormat="1" x14ac:dyDescent="0.2">
      <c r="B75" s="331"/>
      <c r="D75" s="332"/>
      <c r="F75" s="333"/>
      <c r="G75" s="334"/>
      <c r="H75" s="334"/>
    </row>
    <row r="76" spans="2:8" s="330" customFormat="1" x14ac:dyDescent="0.2">
      <c r="B76" s="331"/>
      <c r="D76" s="332"/>
      <c r="F76" s="333"/>
      <c r="G76" s="334"/>
      <c r="H76" s="334"/>
    </row>
    <row r="77" spans="2:8" s="330" customFormat="1" x14ac:dyDescent="0.2">
      <c r="B77" s="331"/>
      <c r="D77" s="332"/>
      <c r="F77" s="333"/>
      <c r="G77" s="334"/>
      <c r="H77" s="334"/>
    </row>
    <row r="78" spans="2:8" s="330" customFormat="1" x14ac:dyDescent="0.2">
      <c r="B78" s="331"/>
      <c r="D78" s="332"/>
      <c r="F78" s="333"/>
      <c r="G78" s="334"/>
      <c r="H78" s="334"/>
    </row>
    <row r="79" spans="2:8" s="330" customFormat="1" x14ac:dyDescent="0.2">
      <c r="B79" s="331"/>
      <c r="D79" s="332"/>
      <c r="F79" s="333"/>
      <c r="G79" s="334"/>
      <c r="H79" s="334"/>
    </row>
    <row r="80" spans="2:8" s="330" customFormat="1" x14ac:dyDescent="0.2">
      <c r="B80" s="331"/>
      <c r="D80" s="332"/>
      <c r="F80" s="333"/>
      <c r="G80" s="334"/>
      <c r="H80" s="334"/>
    </row>
    <row r="81" spans="2:8" s="330" customFormat="1" x14ac:dyDescent="0.2">
      <c r="B81" s="331"/>
      <c r="D81" s="332"/>
      <c r="F81" s="333"/>
      <c r="G81" s="334"/>
      <c r="H81" s="334"/>
    </row>
    <row r="82" spans="2:8" s="330" customFormat="1" x14ac:dyDescent="0.2">
      <c r="B82" s="331"/>
      <c r="D82" s="332"/>
      <c r="F82" s="333"/>
      <c r="G82" s="334"/>
      <c r="H82" s="334"/>
    </row>
    <row r="83" spans="2:8" s="330" customFormat="1" x14ac:dyDescent="0.2">
      <c r="B83" s="331"/>
      <c r="D83" s="332"/>
      <c r="F83" s="333"/>
      <c r="G83" s="334"/>
      <c r="H83" s="334"/>
    </row>
    <row r="84" spans="2:8" s="330" customFormat="1" x14ac:dyDescent="0.2">
      <c r="B84" s="331"/>
      <c r="D84" s="332"/>
      <c r="F84" s="333"/>
      <c r="G84" s="334"/>
      <c r="H84" s="334"/>
    </row>
    <row r="85" spans="2:8" s="330" customFormat="1" x14ac:dyDescent="0.2">
      <c r="B85" s="331"/>
      <c r="D85" s="332"/>
      <c r="F85" s="333"/>
      <c r="G85" s="334"/>
      <c r="H85" s="334"/>
    </row>
    <row r="86" spans="2:8" s="330" customFormat="1" x14ac:dyDescent="0.2">
      <c r="B86" s="331"/>
      <c r="D86" s="332"/>
      <c r="F86" s="333"/>
      <c r="G86" s="334"/>
      <c r="H86" s="334"/>
    </row>
    <row r="87" spans="2:8" s="330" customFormat="1" x14ac:dyDescent="0.2">
      <c r="B87" s="331"/>
      <c r="D87" s="332"/>
      <c r="F87" s="333"/>
      <c r="G87" s="334"/>
      <c r="H87" s="334"/>
    </row>
    <row r="88" spans="2:8" s="330" customFormat="1" x14ac:dyDescent="0.2">
      <c r="B88" s="331"/>
      <c r="D88" s="332"/>
      <c r="F88" s="333"/>
      <c r="G88" s="334"/>
      <c r="H88" s="334"/>
    </row>
    <row r="89" spans="2:8" s="330" customFormat="1" x14ac:dyDescent="0.2">
      <c r="B89" s="331"/>
      <c r="D89" s="332"/>
      <c r="F89" s="333"/>
      <c r="G89" s="334"/>
      <c r="H89" s="334"/>
    </row>
    <row r="90" spans="2:8" s="330" customFormat="1" x14ac:dyDescent="0.2">
      <c r="B90" s="331"/>
      <c r="D90" s="332"/>
      <c r="F90" s="333"/>
      <c r="G90" s="334"/>
      <c r="H90" s="334"/>
    </row>
    <row r="91" spans="2:8" s="330" customFormat="1" x14ac:dyDescent="0.2">
      <c r="B91" s="331"/>
      <c r="D91" s="332"/>
      <c r="F91" s="333"/>
      <c r="G91" s="334"/>
      <c r="H91" s="334"/>
    </row>
    <row r="92" spans="2:8" s="330" customFormat="1" x14ac:dyDescent="0.2">
      <c r="B92" s="331"/>
      <c r="D92" s="332"/>
      <c r="F92" s="333"/>
      <c r="G92" s="334"/>
      <c r="H92" s="334"/>
    </row>
    <row r="93" spans="2:8" s="330" customFormat="1" x14ac:dyDescent="0.2">
      <c r="B93" s="331"/>
      <c r="D93" s="332"/>
      <c r="F93" s="333"/>
      <c r="G93" s="334"/>
      <c r="H93" s="334"/>
    </row>
    <row r="94" spans="2:8" s="330" customFormat="1" x14ac:dyDescent="0.2">
      <c r="B94" s="331"/>
      <c r="D94" s="332"/>
      <c r="F94" s="333"/>
      <c r="G94" s="334"/>
      <c r="H94" s="334"/>
    </row>
    <row r="95" spans="2:8" s="330" customFormat="1" x14ac:dyDescent="0.2">
      <c r="B95" s="331"/>
      <c r="D95" s="332"/>
      <c r="F95" s="333"/>
      <c r="G95" s="334"/>
      <c r="H95" s="334"/>
    </row>
    <row r="96" spans="2:8" s="330" customFormat="1" x14ac:dyDescent="0.2">
      <c r="B96" s="331"/>
      <c r="D96" s="332"/>
      <c r="F96" s="333"/>
      <c r="G96" s="334"/>
      <c r="H96" s="334"/>
    </row>
    <row r="97" spans="2:8" s="330" customFormat="1" x14ac:dyDescent="0.2">
      <c r="B97" s="331"/>
      <c r="D97" s="332"/>
      <c r="F97" s="333"/>
      <c r="G97" s="334"/>
      <c r="H97" s="334"/>
    </row>
    <row r="98" spans="2:8" s="330" customFormat="1" x14ac:dyDescent="0.2">
      <c r="B98" s="331"/>
      <c r="D98" s="332"/>
      <c r="F98" s="333"/>
      <c r="G98" s="334"/>
      <c r="H98" s="334"/>
    </row>
    <row r="99" spans="2:8" s="330" customFormat="1" x14ac:dyDescent="0.2">
      <c r="B99" s="331"/>
      <c r="D99" s="332"/>
      <c r="F99" s="333"/>
      <c r="G99" s="334"/>
      <c r="H99" s="334"/>
    </row>
    <row r="100" spans="2:8" s="330" customFormat="1" x14ac:dyDescent="0.2">
      <c r="B100" s="331"/>
      <c r="D100" s="332"/>
      <c r="F100" s="333"/>
      <c r="G100" s="334"/>
      <c r="H100" s="334"/>
    </row>
    <row r="101" spans="2:8" s="330" customFormat="1" x14ac:dyDescent="0.2">
      <c r="B101" s="331"/>
      <c r="D101" s="332"/>
      <c r="F101" s="333"/>
      <c r="G101" s="334"/>
      <c r="H101" s="334"/>
    </row>
    <row r="102" spans="2:8" s="330" customFormat="1" x14ac:dyDescent="0.2">
      <c r="B102" s="331"/>
      <c r="D102" s="332"/>
      <c r="F102" s="333"/>
      <c r="G102" s="334"/>
      <c r="H102" s="334"/>
    </row>
    <row r="103" spans="2:8" s="330" customFormat="1" x14ac:dyDescent="0.2">
      <c r="B103" s="331"/>
      <c r="D103" s="332"/>
      <c r="F103" s="333"/>
      <c r="G103" s="334"/>
      <c r="H103" s="334"/>
    </row>
    <row r="104" spans="2:8" s="330" customFormat="1" x14ac:dyDescent="0.2">
      <c r="B104" s="331"/>
      <c r="D104" s="332"/>
      <c r="F104" s="333"/>
      <c r="G104" s="334"/>
      <c r="H104" s="334"/>
    </row>
    <row r="105" spans="2:8" s="330" customFormat="1" x14ac:dyDescent="0.2">
      <c r="B105" s="331"/>
      <c r="D105" s="332"/>
      <c r="F105" s="333"/>
      <c r="G105" s="334"/>
      <c r="H105" s="334"/>
    </row>
    <row r="106" spans="2:8" s="330" customFormat="1" x14ac:dyDescent="0.2">
      <c r="B106" s="331"/>
      <c r="D106" s="332"/>
      <c r="F106" s="333"/>
      <c r="G106" s="334"/>
      <c r="H106" s="334"/>
    </row>
    <row r="107" spans="2:8" s="330" customFormat="1" x14ac:dyDescent="0.2">
      <c r="B107" s="331"/>
      <c r="D107" s="332"/>
      <c r="F107" s="333"/>
      <c r="G107" s="334"/>
      <c r="H107" s="334"/>
    </row>
    <row r="108" spans="2:8" s="330" customFormat="1" x14ac:dyDescent="0.2">
      <c r="B108" s="331"/>
      <c r="D108" s="332"/>
      <c r="F108" s="333"/>
      <c r="G108" s="334"/>
      <c r="H108" s="334"/>
    </row>
    <row r="109" spans="2:8" s="330" customFormat="1" x14ac:dyDescent="0.2">
      <c r="B109" s="331"/>
      <c r="D109" s="332"/>
      <c r="F109" s="333"/>
      <c r="G109" s="334"/>
      <c r="H109" s="334"/>
    </row>
    <row r="110" spans="2:8" s="330" customFormat="1" x14ac:dyDescent="0.2">
      <c r="B110" s="331"/>
      <c r="D110" s="332"/>
      <c r="F110" s="333"/>
      <c r="G110" s="334"/>
      <c r="H110" s="334"/>
    </row>
    <row r="111" spans="2:8" s="330" customFormat="1" x14ac:dyDescent="0.2">
      <c r="B111" s="331"/>
      <c r="D111" s="332"/>
      <c r="F111" s="333"/>
      <c r="G111" s="334"/>
      <c r="H111" s="334"/>
    </row>
    <row r="112" spans="2:8" s="330" customFormat="1" x14ac:dyDescent="0.2">
      <c r="B112" s="331"/>
      <c r="D112" s="332"/>
      <c r="F112" s="333"/>
      <c r="G112" s="334"/>
      <c r="H112" s="334"/>
    </row>
    <row r="113" spans="2:8" s="330" customFormat="1" x14ac:dyDescent="0.2">
      <c r="B113" s="331"/>
      <c r="D113" s="332"/>
      <c r="F113" s="333"/>
      <c r="G113" s="334"/>
      <c r="H113" s="334"/>
    </row>
    <row r="114" spans="2:8" s="330" customFormat="1" x14ac:dyDescent="0.2">
      <c r="B114" s="331"/>
      <c r="D114" s="332"/>
      <c r="F114" s="333"/>
      <c r="G114" s="334"/>
      <c r="H114" s="334"/>
    </row>
    <row r="115" spans="2:8" s="330" customFormat="1" x14ac:dyDescent="0.2">
      <c r="B115" s="331"/>
      <c r="D115" s="332"/>
      <c r="F115" s="333"/>
      <c r="G115" s="334"/>
      <c r="H115" s="334"/>
    </row>
    <row r="116" spans="2:8" s="330" customFormat="1" x14ac:dyDescent="0.2">
      <c r="B116" s="331"/>
      <c r="D116" s="332"/>
      <c r="F116" s="333"/>
      <c r="G116" s="334"/>
      <c r="H116" s="334"/>
    </row>
    <row r="117" spans="2:8" s="330" customFormat="1" x14ac:dyDescent="0.2">
      <c r="B117" s="331"/>
      <c r="D117" s="332"/>
      <c r="F117" s="333"/>
      <c r="G117" s="334"/>
      <c r="H117" s="334"/>
    </row>
    <row r="118" spans="2:8" s="330" customFormat="1" x14ac:dyDescent="0.2">
      <c r="B118" s="331"/>
      <c r="D118" s="332"/>
      <c r="F118" s="333"/>
      <c r="G118" s="334"/>
      <c r="H118" s="334"/>
    </row>
    <row r="119" spans="2:8" s="330" customFormat="1" x14ac:dyDescent="0.2">
      <c r="B119" s="331"/>
      <c r="D119" s="332"/>
      <c r="F119" s="333"/>
      <c r="G119" s="334"/>
      <c r="H119" s="334"/>
    </row>
    <row r="120" spans="2:8" s="330" customFormat="1" x14ac:dyDescent="0.2">
      <c r="B120" s="331"/>
      <c r="D120" s="332"/>
      <c r="F120" s="333"/>
      <c r="G120" s="334"/>
      <c r="H120" s="334"/>
    </row>
    <row r="121" spans="2:8" s="330" customFormat="1" x14ac:dyDescent="0.2">
      <c r="B121" s="331"/>
      <c r="D121" s="332"/>
      <c r="F121" s="333"/>
      <c r="G121" s="334"/>
      <c r="H121" s="334"/>
    </row>
    <row r="122" spans="2:8" s="330" customFormat="1" x14ac:dyDescent="0.2">
      <c r="B122" s="331"/>
      <c r="D122" s="332"/>
      <c r="F122" s="333"/>
      <c r="G122" s="334"/>
      <c r="H122" s="334"/>
    </row>
    <row r="123" spans="2:8" s="330" customFormat="1" x14ac:dyDescent="0.2">
      <c r="B123" s="331"/>
      <c r="D123" s="332"/>
      <c r="F123" s="333"/>
      <c r="G123" s="334"/>
      <c r="H123" s="334"/>
    </row>
    <row r="124" spans="2:8" s="330" customFormat="1" x14ac:dyDescent="0.2">
      <c r="B124" s="331"/>
      <c r="D124" s="332"/>
      <c r="F124" s="333"/>
      <c r="G124" s="334"/>
      <c r="H124" s="334"/>
    </row>
    <row r="125" spans="2:8" s="330" customFormat="1" x14ac:dyDescent="0.2">
      <c r="B125" s="331"/>
      <c r="D125" s="332"/>
      <c r="F125" s="333"/>
      <c r="G125" s="334"/>
      <c r="H125" s="334"/>
    </row>
    <row r="126" spans="2:8" s="330" customFormat="1" x14ac:dyDescent="0.2">
      <c r="B126" s="331"/>
      <c r="D126" s="332"/>
      <c r="F126" s="333"/>
      <c r="G126" s="334"/>
      <c r="H126" s="334"/>
    </row>
    <row r="127" spans="2:8" s="330" customFormat="1" x14ac:dyDescent="0.2">
      <c r="B127" s="331"/>
      <c r="D127" s="332"/>
      <c r="F127" s="333"/>
      <c r="G127" s="334"/>
      <c r="H127" s="334"/>
    </row>
    <row r="128" spans="2:8" s="330" customFormat="1" x14ac:dyDescent="0.2">
      <c r="B128" s="331"/>
      <c r="D128" s="332"/>
      <c r="F128" s="333"/>
      <c r="G128" s="334"/>
      <c r="H128" s="334"/>
    </row>
    <row r="129" spans="2:8" s="330" customFormat="1" x14ac:dyDescent="0.2">
      <c r="B129" s="331"/>
      <c r="D129" s="332"/>
      <c r="F129" s="333"/>
      <c r="G129" s="334"/>
      <c r="H129" s="334"/>
    </row>
    <row r="130" spans="2:8" s="330" customFormat="1" x14ac:dyDescent="0.2">
      <c r="B130" s="331"/>
      <c r="D130" s="332"/>
      <c r="F130" s="333"/>
      <c r="G130" s="334"/>
      <c r="H130" s="334"/>
    </row>
    <row r="131" spans="2:8" s="330" customFormat="1" x14ac:dyDescent="0.2">
      <c r="B131" s="331"/>
      <c r="D131" s="332"/>
      <c r="F131" s="333"/>
      <c r="G131" s="334"/>
      <c r="H131" s="334"/>
    </row>
    <row r="132" spans="2:8" s="330" customFormat="1" x14ac:dyDescent="0.2">
      <c r="B132" s="331"/>
      <c r="D132" s="332"/>
      <c r="F132" s="333"/>
      <c r="G132" s="334"/>
      <c r="H132" s="334"/>
    </row>
    <row r="133" spans="2:8" s="330" customFormat="1" x14ac:dyDescent="0.2">
      <c r="B133" s="331"/>
      <c r="D133" s="332"/>
      <c r="F133" s="333"/>
      <c r="G133" s="334"/>
      <c r="H133" s="334"/>
    </row>
    <row r="134" spans="2:8" s="330" customFormat="1" x14ac:dyDescent="0.2">
      <c r="B134" s="331"/>
      <c r="D134" s="332"/>
      <c r="F134" s="333"/>
      <c r="G134" s="334"/>
      <c r="H134" s="334"/>
    </row>
    <row r="135" spans="2:8" s="330" customFormat="1" x14ac:dyDescent="0.2">
      <c r="B135" s="331"/>
      <c r="D135" s="332"/>
      <c r="F135" s="333"/>
      <c r="G135" s="334"/>
      <c r="H135" s="334"/>
    </row>
    <row r="136" spans="2:8" s="330" customFormat="1" x14ac:dyDescent="0.2">
      <c r="B136" s="331"/>
      <c r="D136" s="332"/>
      <c r="F136" s="333"/>
      <c r="G136" s="334"/>
      <c r="H136" s="334"/>
    </row>
    <row r="137" spans="2:8" s="330" customFormat="1" x14ac:dyDescent="0.2">
      <c r="B137" s="331"/>
      <c r="D137" s="332"/>
      <c r="F137" s="333"/>
      <c r="G137" s="334"/>
      <c r="H137" s="334"/>
    </row>
    <row r="138" spans="2:8" s="330" customFormat="1" x14ac:dyDescent="0.2">
      <c r="B138" s="331"/>
      <c r="D138" s="332"/>
      <c r="F138" s="333"/>
      <c r="G138" s="334"/>
      <c r="H138" s="334"/>
    </row>
    <row r="139" spans="2:8" s="330" customFormat="1" x14ac:dyDescent="0.2">
      <c r="B139" s="331"/>
      <c r="D139" s="332"/>
      <c r="F139" s="333"/>
      <c r="G139" s="334"/>
      <c r="H139" s="334"/>
    </row>
    <row r="140" spans="2:8" s="330" customFormat="1" x14ac:dyDescent="0.2">
      <c r="B140" s="331"/>
      <c r="D140" s="332"/>
      <c r="F140" s="333"/>
      <c r="G140" s="334"/>
      <c r="H140" s="334"/>
    </row>
    <row r="141" spans="2:8" s="330" customFormat="1" x14ac:dyDescent="0.2">
      <c r="B141" s="331"/>
      <c r="D141" s="332"/>
      <c r="F141" s="333"/>
      <c r="G141" s="334"/>
      <c r="H141" s="334"/>
    </row>
    <row r="142" spans="2:8" s="330" customFormat="1" x14ac:dyDescent="0.2">
      <c r="B142" s="331"/>
      <c r="D142" s="332"/>
      <c r="F142" s="333"/>
      <c r="G142" s="334"/>
      <c r="H142" s="334"/>
    </row>
    <row r="143" spans="2:8" s="330" customFormat="1" x14ac:dyDescent="0.2">
      <c r="B143" s="331"/>
      <c r="D143" s="332"/>
      <c r="F143" s="333"/>
      <c r="G143" s="334"/>
      <c r="H143" s="334"/>
    </row>
    <row r="144" spans="2:8" s="330" customFormat="1" x14ac:dyDescent="0.2">
      <c r="B144" s="331"/>
      <c r="D144" s="332"/>
      <c r="F144" s="333"/>
      <c r="G144" s="334"/>
      <c r="H144" s="334"/>
    </row>
    <row r="145" spans="2:8" s="330" customFormat="1" x14ac:dyDescent="0.2">
      <c r="B145" s="331"/>
      <c r="D145" s="332"/>
      <c r="F145" s="333"/>
      <c r="G145" s="334"/>
      <c r="H145" s="334"/>
    </row>
    <row r="146" spans="2:8" s="330" customFormat="1" x14ac:dyDescent="0.2">
      <c r="B146" s="331"/>
      <c r="D146" s="332"/>
      <c r="F146" s="333"/>
      <c r="G146" s="334"/>
      <c r="H146" s="334"/>
    </row>
    <row r="147" spans="2:8" s="330" customFormat="1" x14ac:dyDescent="0.2">
      <c r="B147" s="331"/>
      <c r="D147" s="332"/>
      <c r="F147" s="333"/>
      <c r="G147" s="334"/>
      <c r="H147" s="334"/>
    </row>
    <row r="148" spans="2:8" s="330" customFormat="1" x14ac:dyDescent="0.2">
      <c r="B148" s="331"/>
      <c r="D148" s="332"/>
      <c r="F148" s="333"/>
      <c r="G148" s="334"/>
      <c r="H148" s="334"/>
    </row>
    <row r="149" spans="2:8" s="330" customFormat="1" x14ac:dyDescent="0.2">
      <c r="B149" s="331"/>
      <c r="D149" s="332"/>
      <c r="F149" s="333"/>
      <c r="G149" s="334"/>
      <c r="H149" s="334"/>
    </row>
    <row r="150" spans="2:8" s="330" customFormat="1" x14ac:dyDescent="0.2">
      <c r="B150" s="331"/>
      <c r="D150" s="332"/>
      <c r="F150" s="333"/>
      <c r="G150" s="334"/>
      <c r="H150" s="334"/>
    </row>
    <row r="151" spans="2:8" s="330" customFormat="1" x14ac:dyDescent="0.2">
      <c r="B151" s="331"/>
      <c r="D151" s="332"/>
      <c r="F151" s="333"/>
      <c r="G151" s="334"/>
      <c r="H151" s="334"/>
    </row>
    <row r="152" spans="2:8" s="330" customFormat="1" x14ac:dyDescent="0.2">
      <c r="B152" s="331"/>
      <c r="D152" s="332"/>
      <c r="F152" s="333"/>
      <c r="G152" s="334"/>
      <c r="H152" s="334"/>
    </row>
    <row r="153" spans="2:8" s="330" customFormat="1" x14ac:dyDescent="0.2">
      <c r="B153" s="331"/>
      <c r="D153" s="332"/>
      <c r="F153" s="333"/>
      <c r="G153" s="334"/>
      <c r="H153" s="334"/>
    </row>
    <row r="154" spans="2:8" s="330" customFormat="1" x14ac:dyDescent="0.2">
      <c r="B154" s="331"/>
      <c r="D154" s="332"/>
      <c r="F154" s="333"/>
      <c r="G154" s="334"/>
      <c r="H154" s="334"/>
    </row>
    <row r="155" spans="2:8" s="330" customFormat="1" x14ac:dyDescent="0.2">
      <c r="B155" s="331"/>
      <c r="D155" s="332"/>
      <c r="F155" s="333"/>
      <c r="G155" s="334"/>
      <c r="H155" s="334"/>
    </row>
    <row r="156" spans="2:8" s="330" customFormat="1" x14ac:dyDescent="0.2">
      <c r="B156" s="331"/>
      <c r="D156" s="332"/>
      <c r="F156" s="333"/>
      <c r="G156" s="334"/>
      <c r="H156" s="334"/>
    </row>
    <row r="157" spans="2:8" s="330" customFormat="1" x14ac:dyDescent="0.2">
      <c r="B157" s="331"/>
      <c r="D157" s="332"/>
      <c r="F157" s="333"/>
      <c r="G157" s="334"/>
      <c r="H157" s="334"/>
    </row>
    <row r="158" spans="2:8" s="330" customFormat="1" x14ac:dyDescent="0.2">
      <c r="B158" s="331"/>
      <c r="D158" s="332"/>
      <c r="F158" s="333"/>
      <c r="G158" s="334"/>
      <c r="H158" s="334"/>
    </row>
    <row r="159" spans="2:8" s="330" customFormat="1" x14ac:dyDescent="0.2">
      <c r="B159" s="331"/>
      <c r="D159" s="332"/>
      <c r="F159" s="333"/>
      <c r="G159" s="334"/>
      <c r="H159" s="334"/>
    </row>
    <row r="160" spans="2:8" s="330" customFormat="1" x14ac:dyDescent="0.2">
      <c r="B160" s="331"/>
      <c r="D160" s="332"/>
      <c r="F160" s="333"/>
      <c r="G160" s="334"/>
      <c r="H160" s="334"/>
    </row>
    <row r="161" spans="2:8" s="330" customFormat="1" x14ac:dyDescent="0.2">
      <c r="B161" s="331"/>
      <c r="D161" s="332"/>
      <c r="F161" s="333"/>
      <c r="G161" s="334"/>
      <c r="H161" s="334"/>
    </row>
    <row r="162" spans="2:8" s="330" customFormat="1" x14ac:dyDescent="0.2">
      <c r="B162" s="331"/>
      <c r="D162" s="332"/>
      <c r="F162" s="333"/>
      <c r="G162" s="334"/>
      <c r="H162" s="334"/>
    </row>
    <row r="163" spans="2:8" s="330" customFormat="1" x14ac:dyDescent="0.2">
      <c r="B163" s="331"/>
      <c r="D163" s="332"/>
      <c r="F163" s="333"/>
      <c r="G163" s="334"/>
      <c r="H163" s="334"/>
    </row>
    <row r="164" spans="2:8" s="330" customFormat="1" x14ac:dyDescent="0.2">
      <c r="B164" s="331"/>
      <c r="D164" s="332"/>
      <c r="F164" s="333"/>
      <c r="G164" s="334"/>
      <c r="H164" s="334"/>
    </row>
    <row r="165" spans="2:8" s="330" customFormat="1" x14ac:dyDescent="0.2">
      <c r="B165" s="331"/>
      <c r="D165" s="332"/>
      <c r="F165" s="333"/>
      <c r="G165" s="334"/>
      <c r="H165" s="334"/>
    </row>
    <row r="166" spans="2:8" s="330" customFormat="1" x14ac:dyDescent="0.2">
      <c r="B166" s="331"/>
      <c r="D166" s="332"/>
      <c r="F166" s="333"/>
      <c r="G166" s="334"/>
      <c r="H166" s="334"/>
    </row>
  </sheetData>
  <mergeCells count="48">
    <mergeCell ref="A1:H1"/>
    <mergeCell ref="I1:T1"/>
    <mergeCell ref="A2:A3"/>
    <mergeCell ref="B2:B3"/>
    <mergeCell ref="C2:C3"/>
    <mergeCell ref="D2:D3"/>
    <mergeCell ref="E2:E3"/>
    <mergeCell ref="F2:F3"/>
    <mergeCell ref="G2:G3"/>
    <mergeCell ref="H2:H3"/>
    <mergeCell ref="I16:K16"/>
    <mergeCell ref="R16:S16"/>
    <mergeCell ref="I2:T2"/>
    <mergeCell ref="O4:P4"/>
    <mergeCell ref="Q4:T4"/>
    <mergeCell ref="J6:T6"/>
    <mergeCell ref="I12:J12"/>
    <mergeCell ref="M5:T5"/>
    <mergeCell ref="I13:J13"/>
    <mergeCell ref="P13:T13"/>
    <mergeCell ref="I14:J14"/>
    <mergeCell ref="I15:K15"/>
    <mergeCell ref="S15:T15"/>
    <mergeCell ref="I17:K17"/>
    <mergeCell ref="L17:M17"/>
    <mergeCell ref="I18:L18"/>
    <mergeCell ref="I19:L19"/>
    <mergeCell ref="I20:L20"/>
    <mergeCell ref="I29:P29"/>
    <mergeCell ref="Q29:R29"/>
    <mergeCell ref="S29:T29"/>
    <mergeCell ref="S21:T21"/>
    <mergeCell ref="I22:N22"/>
    <mergeCell ref="I23:N23"/>
    <mergeCell ref="I24:N24"/>
    <mergeCell ref="S24:T24"/>
    <mergeCell ref="I25:O25"/>
    <mergeCell ref="I21:M21"/>
    <mergeCell ref="I26:O26"/>
    <mergeCell ref="S26:T26"/>
    <mergeCell ref="I27:O27"/>
    <mergeCell ref="S27:T27"/>
    <mergeCell ref="I28:P28"/>
    <mergeCell ref="S31:T31"/>
    <mergeCell ref="I30:Q30"/>
    <mergeCell ref="I32:S32"/>
    <mergeCell ref="I33:S33"/>
    <mergeCell ref="I31:R31"/>
  </mergeCells>
  <phoneticPr fontId="10" type="noConversion"/>
  <pageMargins left="0.7" right="0.7" top="0.75" bottom="0.75" header="0.3" footer="0.3"/>
  <pageSetup orientation="portrait" r:id="rId1"/>
  <ignoredErrors>
    <ignoredError sqref="T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EJECUCION MENSUAL 2024-TRIMES 1</vt:lpstr>
      <vt:lpstr>EJECUCION MENSUAL 2024-TRIM 2</vt:lpstr>
      <vt:lpstr>EJECUCION MENSUAL 2024-TRIM 3</vt:lpstr>
      <vt:lpstr>EJECUCION MENSUAL 2024-TRIM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2024-10-18T13:41:34Z</dcterms:created>
  <dcterms:modified xsi:type="dcterms:W3CDTF">2025-01-29T16:32:17Z</dcterms:modified>
</cp:coreProperties>
</file>