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0.17\Instituto CRD\CONTRATACIÓN_Y_JURIDICA_IMCRD_2020-2023\CONTRATOS VIGENCIA 2023\"/>
    </mc:Choice>
  </mc:AlternateContent>
  <xr:revisionPtr revIDLastSave="0" documentId="13_ncr:1_{A047B817-8BC8-4430-8EEF-24F00CB8017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RELACION DE CONTRATOS 2023" sheetId="1" r:id="rId1"/>
  </sheets>
  <definedNames>
    <definedName name="_xlnm._FilterDatabase" localSheetId="0" hidden="1">'RELACION DE CONTRATOS 2023'!$F$2:$F$35</definedName>
    <definedName name="_Hlk140599183" localSheetId="0">'RELACION DE CONTRATOS 2023'!$D$27</definedName>
    <definedName name="incBuyerDossierDetaillnkRequestName" localSheetId="0">'RELACION DE CONTRATOS 2023'!$A$16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V34" i="1" s="1"/>
  <c r="U37" i="1"/>
  <c r="U36" i="1"/>
  <c r="T35" i="1"/>
  <c r="S33" i="1"/>
  <c r="S32" i="1"/>
  <c r="U32" i="1" s="1"/>
  <c r="R31" i="1"/>
  <c r="S31" i="1" s="1"/>
  <c r="O24" i="1"/>
  <c r="M18" i="1"/>
  <c r="Q27" i="1"/>
  <c r="R30" i="1"/>
  <c r="R29" i="1"/>
  <c r="S29" i="1" s="1"/>
  <c r="R28" i="1"/>
  <c r="T28" i="1" s="1"/>
  <c r="Q26" i="1"/>
  <c r="U26" i="1" s="1"/>
  <c r="V25" i="1"/>
  <c r="U25" i="1"/>
  <c r="T25" i="1"/>
  <c r="S25" i="1"/>
  <c r="R25" i="1"/>
  <c r="Q25" i="1"/>
  <c r="P25" i="1"/>
  <c r="N23" i="1"/>
  <c r="S23" i="1" s="1"/>
  <c r="T22" i="1"/>
  <c r="S22" i="1"/>
  <c r="N22" i="1"/>
  <c r="R22" i="1" s="1"/>
  <c r="N21" i="1"/>
  <c r="Q21" i="1" s="1"/>
  <c r="N20" i="1"/>
  <c r="T20" i="1" s="1"/>
  <c r="U19" i="1"/>
  <c r="N19" i="1"/>
  <c r="R19" i="1" s="1"/>
  <c r="L17" i="1"/>
  <c r="M17" i="1" s="1"/>
  <c r="S16" i="1"/>
  <c r="L16" i="1"/>
  <c r="O16" i="1" s="1"/>
  <c r="L15" i="1"/>
  <c r="Q15" i="1" s="1"/>
  <c r="L14" i="1"/>
  <c r="S14" i="1" s="1"/>
  <c r="M14" i="1"/>
  <c r="L13" i="1"/>
  <c r="U13" i="1" s="1"/>
  <c r="L12" i="1"/>
  <c r="T12" i="1" s="1"/>
  <c r="L11" i="1"/>
  <c r="S11" i="1" s="1"/>
  <c r="S10" i="1"/>
  <c r="R10" i="1"/>
  <c r="L10" i="1"/>
  <c r="P10" i="1" s="1"/>
  <c r="L9" i="1"/>
  <c r="N9" i="1" s="1"/>
  <c r="K7" i="1"/>
  <c r="Q7" i="1" s="1"/>
  <c r="K6" i="1"/>
  <c r="R6" i="1" s="1"/>
  <c r="P4" i="1"/>
  <c r="O4" i="1"/>
  <c r="N4" i="1"/>
  <c r="L4" i="1"/>
  <c r="M4" i="1"/>
  <c r="K4" i="1"/>
  <c r="U4" i="1" s="1"/>
  <c r="N13" i="1" l="1"/>
  <c r="R15" i="1"/>
  <c r="P17" i="1"/>
  <c r="U29" i="1"/>
  <c r="Q4" i="1"/>
  <c r="P9" i="1"/>
  <c r="N12" i="1"/>
  <c r="Q13" i="1"/>
  <c r="N16" i="1"/>
  <c r="Q17" i="1"/>
  <c r="R21" i="1"/>
  <c r="S26" i="1"/>
  <c r="V29" i="1"/>
  <c r="M9" i="1"/>
  <c r="S15" i="1"/>
  <c r="R26" i="1"/>
  <c r="R4" i="1"/>
  <c r="Q9" i="1"/>
  <c r="O12" i="1"/>
  <c r="P16" i="1"/>
  <c r="S21" i="1"/>
  <c r="T26" i="1"/>
  <c r="O13" i="1"/>
  <c r="T29" i="1"/>
  <c r="O9" i="1"/>
  <c r="P21" i="1"/>
  <c r="T4" i="1"/>
  <c r="P12" i="1"/>
  <c r="Q16" i="1"/>
  <c r="S19" i="1"/>
  <c r="T21" i="1"/>
  <c r="O17" i="1"/>
  <c r="P13" i="1"/>
  <c r="Q10" i="1"/>
  <c r="Q12" i="1"/>
  <c r="T14" i="1"/>
  <c r="R16" i="1"/>
  <c r="T19" i="1"/>
  <c r="L6" i="1"/>
  <c r="T15" i="1"/>
  <c r="M15" i="1"/>
  <c r="U15" i="1"/>
  <c r="O6" i="1"/>
  <c r="M10" i="1"/>
  <c r="U10" i="1"/>
  <c r="R12" i="1"/>
  <c r="R13" i="1"/>
  <c r="P14" i="1"/>
  <c r="N15" i="1"/>
  <c r="T16" i="1"/>
  <c r="O19" i="1"/>
  <c r="O22" i="1"/>
  <c r="P23" i="1"/>
  <c r="U31" i="1"/>
  <c r="S6" i="1"/>
  <c r="U14" i="1"/>
  <c r="M6" i="1"/>
  <c r="N14" i="1"/>
  <c r="T10" i="1"/>
  <c r="O14" i="1"/>
  <c r="O23" i="1"/>
  <c r="T31" i="1"/>
  <c r="M7" i="1"/>
  <c r="S4" i="1"/>
  <c r="P6" i="1"/>
  <c r="N10" i="1"/>
  <c r="U12" i="1"/>
  <c r="S13" i="1"/>
  <c r="Q14" i="1"/>
  <c r="O15" i="1"/>
  <c r="M16" i="1"/>
  <c r="U16" i="1"/>
  <c r="P19" i="1"/>
  <c r="O21" i="1"/>
  <c r="P22" i="1"/>
  <c r="Q23" i="1"/>
  <c r="S28" i="1"/>
  <c r="T34" i="1"/>
  <c r="P15" i="1"/>
  <c r="Q22" i="1"/>
  <c r="R9" i="1"/>
  <c r="T32" i="1"/>
  <c r="U34" i="1"/>
  <c r="T6" i="1"/>
  <c r="U6" i="1"/>
  <c r="N6" i="1"/>
  <c r="Q6" i="1"/>
  <c r="O10" i="1"/>
  <c r="T13" i="1"/>
  <c r="R14" i="1"/>
  <c r="Q19" i="1"/>
  <c r="R23" i="1"/>
  <c r="M12" i="1"/>
  <c r="M13" i="1"/>
  <c r="N17" i="1"/>
  <c r="O20" i="1"/>
  <c r="P20" i="1"/>
  <c r="Q20" i="1"/>
  <c r="S20" i="1"/>
  <c r="U20" i="1"/>
  <c r="R20" i="1"/>
  <c r="S12" i="1"/>
  <c r="T11" i="1"/>
  <c r="N11" i="1"/>
  <c r="Q11" i="1"/>
  <c r="M11" i="1"/>
  <c r="U11" i="1"/>
  <c r="O11" i="1"/>
  <c r="P11" i="1"/>
  <c r="R11" i="1"/>
  <c r="R7" i="1"/>
  <c r="T7" i="1"/>
  <c r="U7" i="1"/>
  <c r="L7" i="1"/>
  <c r="N7" i="1"/>
  <c r="O7" i="1"/>
  <c r="P7" i="1"/>
  <c r="S7" i="1"/>
</calcChain>
</file>

<file path=xl/sharedStrings.xml><?xml version="1.0" encoding="utf-8"?>
<sst xmlns="http://schemas.openxmlformats.org/spreadsheetml/2006/main" count="257" uniqueCount="236">
  <si>
    <t>ICRD-005-2023</t>
  </si>
  <si>
    <t>ICRD-CD-005-2023</t>
  </si>
  <si>
    <t>11 meses</t>
  </si>
  <si>
    <t>PRESTACION DE SERVICIOS PROFESIONALES PARA BRINDAR ASESORIA Y ACOMPAÑAMIENTO, EN EL FORTALECIMIENTO DE LOS PROCESOS DE AUDITORIA INTERNA Y CONTROL INTERNO, APOYANDO LA CONTINUIDAD Y CORRECTA APLICACIÓN DE LOS PROCESOS ADMINISTRATIVOS A CARGO DE LA GERENCIA.</t>
  </si>
  <si>
    <t>CRISTIAN CASTIJJELO GUISAO</t>
  </si>
  <si>
    <t>ICRD-003-2023</t>
  </si>
  <si>
    <t>ICRD-CD-003-2023</t>
  </si>
  <si>
    <t>20 dias</t>
  </si>
  <si>
    <t>PRESTACIÓN DE SERVICIOS DE APOYO A LA GESTIÓN EN ACTIVIDADES DE PROMOCIÓN Y FOMENTO DEPORTIVO QUE PERMITA LA PARTICIPACIÓN DE DEPORTISTAS ITAGUISEÑOS EN EL EVENTO INSTITUCIONAL FESTIVAL DE FESTIVALES A CARGO DEL INSTITUTO MUNICIPAL DE CULTURA, RECREACIÓN Y DEPORTE DE ITAGÜÍ.</t>
  </si>
  <si>
    <t>CORSALDEP</t>
  </si>
  <si>
    <t>ICRD-002-2023</t>
  </si>
  <si>
    <t>ICRD-CD-002-2023</t>
  </si>
  <si>
    <t>CORPORACIÓN LÌDRES AVANZANDO EN PAZ</t>
  </si>
  <si>
    <t>ICRD-001-2023</t>
  </si>
  <si>
    <t>ICRD-CD-001-2023</t>
  </si>
  <si>
    <t>ENLACE PUBLICACIÓN SECOP</t>
  </si>
  <si>
    <t>FECHA DE TERMINACIÓN</t>
  </si>
  <si>
    <t>FECHA DE INICIO</t>
  </si>
  <si>
    <t>FECHA SUSCRIPCION CONTRATO/CONVENIO</t>
  </si>
  <si>
    <t>PLAZO</t>
  </si>
  <si>
    <t>VALOR</t>
  </si>
  <si>
    <t>OBJETO DEL CONTRATO/CONVENIO</t>
  </si>
  <si>
    <t>CONTRATISTA</t>
  </si>
  <si>
    <t>CONTRATO CONSECUTIVO</t>
  </si>
  <si>
    <t>N° PROCESO SECOP II</t>
  </si>
  <si>
    <t>ESTRATEGIAS PARA EL DESARROLLO S.A.S. (MITICO)</t>
  </si>
  <si>
    <t>$ 344.793.940</t>
  </si>
  <si>
    <t>PAULA ANDREA PALACIO SALAZAR</t>
  </si>
  <si>
    <t>PRESTACION DE SERVICIOS PROFESIONALES BRINDANDO SOPORTE Y ASESORIA EN EL COMPONENTE DEL SISTEMA DE GESTION DE LA SEGURIDAD Y SALUD EN EL TRABAJO A CARGO DEL AREA DE TALENTO HUMANO DE LA SUBGERENCIA ADMINISTRATIVA Y FINANCIERA DEL INSTITUTO MUNICIPAL DE CULTURA RECREACION Y DEPORTE DE ITAGÜÍ</t>
  </si>
  <si>
    <t>$20.416.000</t>
  </si>
  <si>
    <t>4 meses</t>
  </si>
  <si>
    <t>ICRD-006-2023</t>
  </si>
  <si>
    <t>7 meses</t>
  </si>
  <si>
    <t>ICRD-CD-007-2023</t>
  </si>
  <si>
    <t>ICRD-CD-006-2023</t>
  </si>
  <si>
    <t>ICRD-007-2023</t>
  </si>
  <si>
    <t>JAHNNY DAVID RODRIGUEZ RODRIGUEZ</t>
  </si>
  <si>
    <t>PRESTACION DE SERVICIOS DE APOYO Y ACOMPAÑAMIENTO A LA GESTION EN ACTIVIDADES ASISTENCIALES Y DE SOPORTE TECNICO PARA EL FOMENTO Y LA PARTICIPACION DEL DEPORTE FORMATIVO, COMPETITIVO Y SOCIAL COMUNITARIO DE LA SUBGERENCIA DE FOMENTO DEPORTIVO Y ALTOS LOGROS.</t>
  </si>
  <si>
    <t>$50.885.333</t>
  </si>
  <si>
    <t>10 meses y 29 dias</t>
  </si>
  <si>
    <t>ICRD-CD-008-2023</t>
  </si>
  <si>
    <t>ICRD-008-2023</t>
  </si>
  <si>
    <t>PRESTACION DE SERVICIOS PROFESIONALES BRINDANDO ACOMPAÑAMIENTO, SOPORTE Y ASESORIA EN LAS ACCIONES DIRIGIDAS A LA GENERACION DE OPORTUNIDADES PARA EL ACCESO A LOS ESPACIOS DEPORTIVOS RECREATIVOS Y CULTURALES DE ITAGÜÍ DE MANERA PARTICIPATIVA E INCLUYENTE, A CARGO DEL ESTABLECIMIENTO PUBLICO.</t>
  </si>
  <si>
    <t>DAVID ESTEBAN MONTES TABORDA</t>
  </si>
  <si>
    <t>$59.790.267</t>
  </si>
  <si>
    <t>PRESTACIÓN DE SERVICIOS DE APOYO A LA GESTION PARA CONTINUAR EJECUTANDO ACTIVIDADES DE ASISTENCIA TECNICA CON ENFASIS EN FÚTBOL, BRINDANDO ACOMPAÑAMIENTO Y ASESORÍA A LOS SELECCIONADOS INSTITUCIONALES DE LA CIUDAD EN LAS CATEGORÍAS DE INICIACIÓN, FORMACIÓN Y ALTA COMPETENCIA A CARGO DE LA SUBGERENCIA DE FOMENTO DEPORTIVO Y ALTOS LOGROS.</t>
  </si>
  <si>
    <t>ICRD-CD-009-2023</t>
  </si>
  <si>
    <t>ICRD-009-2023</t>
  </si>
  <si>
    <t>JUAN EUGENIO JIMENEZ GOMEZ</t>
  </si>
  <si>
    <t xml:space="preserve">$50.885.333 </t>
  </si>
  <si>
    <t xml:space="preserve">$79.413.600 </t>
  </si>
  <si>
    <t>GERMAN HERNANDEZ CASTRO</t>
  </si>
  <si>
    <t>ICRD-CD-010-2023</t>
  </si>
  <si>
    <t>ICRD-010-2023</t>
  </si>
  <si>
    <t>10 meses y 26 dias</t>
  </si>
  <si>
    <t>PRESTACION DE SERVICIOS PROFESIONALES EN ASESORIA Y ACOMPAÑAMIENTO DE LAS POLITICAS, PLANES, PROGRAMAS, PROYECTOS, Y DEMAS ASOCIADOS AL PROGRAMA DE SISTEMA MUNICIPAL DE CULTURA A CARGO DE LA SUBGERENCIA DE CULTURA DEL ESTABLECIMIENTO PUBLICO.</t>
  </si>
  <si>
    <t>ICRD-CD-011-2023</t>
  </si>
  <si>
    <t>ICRD-011-2023</t>
  </si>
  <si>
    <t>LUIS FERNANDO URIBE CARDONA</t>
  </si>
  <si>
    <t xml:space="preserve">$47.997.114 </t>
  </si>
  <si>
    <t>10 meses y 25 dias</t>
  </si>
  <si>
    <t>CAMILO HERNANDO CORREA SILVA</t>
  </si>
  <si>
    <t>PRESTACION DE SERVICIOS DE APOYO A LA GESTION, BRINDANDO SOPORTE TECNICO Y ASISTENCIAL EN LAS ACTIVIDADES OPERATIVAS Y DE GESTION DOCUMENTAL DEL PROCESO CONTRACTUAL (EN TODAS SUS ETAPAS) Y JURIDICO DEL INSTITUTO MUNICIPAL DE CULTURA, RECREACION Y DEPORTE DE ITAGÜÍ.</t>
  </si>
  <si>
    <t>$37.216.667</t>
  </si>
  <si>
    <t>10 meses y 19 dias</t>
  </si>
  <si>
    <t>ICRD-ESAL-01-2023</t>
  </si>
  <si>
    <t>ICRD-013-2023</t>
  </si>
  <si>
    <t>ICRD-012-2023</t>
  </si>
  <si>
    <t>IMPULSAR PROGRAMAS Y ACTIVIDADES ARTÍSTICO-CULTURALES DE INTERÉS PÚBLICO PREVISTAS EN EL PLAN DE DESARROLLO "ITAGÜÍ, CIUDAD DE OPORTUNIDADES 2020-2023" A FIN DE FOMENTAR Y PROMOCIONAR EL ARTE Y LA CULTURA EN EL MUNICIPIO, A TRAVÉS DE LA EJECUCIÓN DE ACCIONES ESTRATÉGICAS QUE PROMUEVAN LOS DERECHOS CULTURALES DE LA POBLACIÓN ITAGÜÍSEÑA DURANTE LA VIGENCIA 2023.</t>
  </si>
  <si>
    <t>CORPORACION KABABI</t>
  </si>
  <si>
    <t>9 meses y 15 dias</t>
  </si>
  <si>
    <t>ICRD-CD-012-2023</t>
  </si>
  <si>
    <t>ICRD-CD-013-2023</t>
  </si>
  <si>
    <t>ICRD-014-2023</t>
  </si>
  <si>
    <t>PRESTACION DE SERVICIOS DE APOYO A LA GESTION, MEDIANTE PRESENTACIONES ARTISTICO CULTURALES DIRIGIDAS AL PROGRAMA AGENDA CULTURAL Y CIRCULACION ARTÍSTICA A TRAVES DE LAS ARTES ESCENICAS (COMPARSAS) A CARGO DE LA SUBGERENCIA DE CULTURA DEL INSTITUTO DE CULTURA, RECREACION Y DEPORTE DE ITAGÜÍ.</t>
  </si>
  <si>
    <t>CORPORACION RAMIQUIRI E IRACA CREI.</t>
  </si>
  <si>
    <t>$31.500.000</t>
  </si>
  <si>
    <t>6 meses</t>
  </si>
  <si>
    <t>ICRD-CD-014-2023</t>
  </si>
  <si>
    <t>ICRD-015-2023</t>
  </si>
  <si>
    <t>$42.000.000</t>
  </si>
  <si>
    <t>15 dias.</t>
  </si>
  <si>
    <t>ICRD-CD-015-2023</t>
  </si>
  <si>
    <t>ICRD-016-2023</t>
  </si>
  <si>
    <t>PRESTACION DE SERVICIOS PROFESIONALES PARA EL DESARROLLO DE ACTVIDADES Y ACCIONES, ENCAMINADAS A LA FORMACION EN FUTBOL Y EL BUEN USO DEL TIEMPO LIBRE, MEDIANTE INTERVENCION EXTRAESCOLAR DIRIGIDA A NIÑOS, NIÑAS, ADOLESCENTES Y SUS FAMILIAS.</t>
  </si>
  <si>
    <t>LEONES FUTBOL CLUB S.A</t>
  </si>
  <si>
    <t>ICRD-CD-016-2023</t>
  </si>
  <si>
    <t>ICRD-017-2023</t>
  </si>
  <si>
    <t>FUNDACION DIEGO ECHAVARRIA MISAS</t>
  </si>
  <si>
    <t>PRESTACION DE SERVICIOS PROFESIONALES PARA EL DESARROLLO DE ACTIVIDADES DIRIGIDAS AL FORTALECIMIENTO DEL SISTEMA MUNICIPAL DE CULTURA, A TRAVES DE LOS SERVICIOS BIBLIOTECARIOS BRINDADOS A LA COMUNIDAD ITAGUISEÑA, A CARGO DE LA SUBGERENCIA DE CULTURA DEL INSTITUTO DE CULTURA, RECREACION Y DEPORTE DE ITAGÜÍ.</t>
  </si>
  <si>
    <t>$619.883.786</t>
  </si>
  <si>
    <t>8 meses</t>
  </si>
  <si>
    <t>ICRD-CD-017-2023</t>
  </si>
  <si>
    <t>ICRD-018-2023</t>
  </si>
  <si>
    <t>ICRD-019-2023</t>
  </si>
  <si>
    <t>ICRD-CD-018-2023</t>
  </si>
  <si>
    <t>ICRD-020-2023</t>
  </si>
  <si>
    <t>ICRD-CD-019-2023</t>
  </si>
  <si>
    <t>ICRD-021-2023</t>
  </si>
  <si>
    <t>ICRD-CD-020-2023</t>
  </si>
  <si>
    <t>FREDY EMMANUEL ALVAREZ LONDOÑO</t>
  </si>
  <si>
    <t>PRESTACION DE SERVICIOS PROFESIONALES DE MEDICO EN MEDICINA DEPORTIVA BRINDANDO ACOMPAÑAMIENTO EN EL DESARROLLO FORMATIVO Y COMPETITIVO DE LOS DEPORTISTAS ITAGUISEÑOS</t>
  </si>
  <si>
    <t>$36.540.000</t>
  </si>
  <si>
    <t>LINA MARIA URREGO MONCADA</t>
  </si>
  <si>
    <t>PRESTACION DE SERVICIOS PROFESIONALES EN PSICOLOGIA DEPORTIVA, BRINDANDO ACOMPAÑAMIENTO EN EL DESARROLLO FORMATIVO Y COMPETITIVO DE LOS DEPORTISTAS ITAGUISEÑOS 2023, EN ARAS DE SOPORTAR LOS ENFOQUES DE INICIACION, FORMACION, ALTA COMPETENCIA Y SOCIAL COMUNITARIO A CARGO DE LA SUBGERENCIA DE FOMENTO DEPORTIVO Y ALTOS LOGROS.</t>
  </si>
  <si>
    <t>PRESTACION DE SERVICIOS DE APOYO A LA GESTION MEDIANTE PRESENTACIONES ARTISTICO CULTURALES DIRIGIDAS AL PROYECTO CONSOLIDACION DE UNA ITAGÜÍ CULTURAL EN CONVIVENCIA DEL PROGRAMA 41 A TRAVES DE LAS ARTES ESCENICAS, A CARGO DE LA SUBGERENCIA DE CULTURA DEL INSTITUTO DE CULTURA, RECREACION Y DEPORTE DE ITAGÜÍ.</t>
  </si>
  <si>
    <t>CORPORACIÓN LA TARTANA</t>
  </si>
  <si>
    <t>$147.000.000</t>
  </si>
  <si>
    <t>PRESTACION DE SERVICIOS DE APOYO A LA GESTION, MEDIANTE EXPRESIONES ARTISTICAS Y CULTURALES DENTRO DEL MARCO DEL FESTIVAL FILM MINUTO ITAGÜÍ CON ENFOQUE EN DERECHOS HUMANOS, A CARGO DE LA SUBGERENCIA DE CULTURA DEL INSTITUTO DE CULTURA, RECREACION Y DEPORTE DE ITAGÜÍ.</t>
  </si>
  <si>
    <t>CORPORACION VISION COLOMBIA CORVICO</t>
  </si>
  <si>
    <t>$40.000.000</t>
  </si>
  <si>
    <t>1 mes</t>
  </si>
  <si>
    <t>ICRD-CD-021-2023</t>
  </si>
  <si>
    <t>ICRD-022-2023</t>
  </si>
  <si>
    <t>ICRD-CD-022-2023</t>
  </si>
  <si>
    <t>ICRD-023-2023</t>
  </si>
  <si>
    <t>$35.728.000</t>
  </si>
  <si>
    <t>https://community.secop.gov.co/Public/Tendering/OpportunityDetail/Index?noticeUID=CO1.NTC.3717269&amp;isFromPublicArea=True&amp;isModal=False</t>
  </si>
  <si>
    <t>https://community.secop.gov.co/Public/Tendering/OpportunityDetail/Index?noticeUID=CO1.NTC.3724163&amp;isFromPublicArea=True&amp;isModal=False</t>
  </si>
  <si>
    <t>https://community.secop.gov.co/Public/Tendering/OpportunityDetail/Index?noticeUID=CO1.NTC.3826597&amp;isFromPublicArea=True&amp;isModal=False</t>
  </si>
  <si>
    <t>https://community.secop.gov.co/Public/Tendering/OpportunityDetail/Index?noticeUID=CO1.NTC.3852816&amp;isFromPublicArea=True&amp;isModal=False</t>
  </si>
  <si>
    <t>https://community.secop.gov.co/Public/Tendering/OpportunityDetail/Index?noticeUID=CO1.NTC.3892041&amp;isFromPublicArea=True&amp;isModal=False</t>
  </si>
  <si>
    <t>https://community.secop.gov.co/Public/Tendering/OpportunityDetail/Index?noticeUID=CO1.NTC.3925871&amp;isFromPublicArea=True&amp;isModal=False</t>
  </si>
  <si>
    <t>https://community.secop.gov.co/Public/Tendering/OpportunityDetail/Index?noticeUID=CO1.NTC.3926582&amp;isFromPublicArea=True&amp;isModal=False</t>
  </si>
  <si>
    <t>https://community.secop.gov.co/Public/Tendering/OpportunityDetail/Index?noticeUID=CO1.NTC.3926951&amp;isFromPublicArea=True&amp;isModal=False</t>
  </si>
  <si>
    <t>https://community.secop.gov.co/Public/Tendering/OpportunityDetail/Index?noticeUID=CO1.NTC.3927219&amp;isFromPublicArea=True&amp;isModal=False</t>
  </si>
  <si>
    <t>https://community.secop.gov.co/Public/Tendering/OpportunityDetail/Index?noticeUID=CO1.NTC.3927336&amp;isFromPublicArea=True&amp;isModal=False</t>
  </si>
  <si>
    <t>https://community.secop.gov.co/Public/Tendering/OpportunityDetail/Index?noticeUID=CO1.NTC.3939181&amp;isFromPublicArea=True&amp;isModal=False</t>
  </si>
  <si>
    <t>https://community.secop.gov.co/Public/Tendering/OpportunityDetail/Index?noticeUID=CO1.NTC.3981971&amp;isFromPublicArea=True&amp;isModal=False</t>
  </si>
  <si>
    <t>https://community.secop.gov.co/Public/Tendering/OpportunityDetail/Index?noticeUID=CO1.NTC.4007100&amp;isFromPublicArea=True&amp;isModal=False</t>
  </si>
  <si>
    <t>https://community.secop.gov.co/Public/Tendering/OpportunityDetail/Index?noticeUID=CO1.NTC.4209022&amp;isFromPublicArea=True&amp;isModal=False</t>
  </si>
  <si>
    <t>https://community.secop.gov.co/Public/Tendering/OpportunityDetail/Index?noticeUID=CO1.NTC.4243201&amp;isFromPublicArea=True&amp;isModal=False</t>
  </si>
  <si>
    <t>https://community.secop.gov.co/Public/Tendering/OpportunityDetail/Index?noticeUID=CO1.NTC.4293967&amp;isFromPublicArea=True&amp;isModal=False</t>
  </si>
  <si>
    <t>https://community.secop.gov.co/Public/Tendering/OpportunityDetail/Index?noticeUID=CO1.NTC.4297921&amp;isFromPublicArea=True&amp;isModal=False</t>
  </si>
  <si>
    <t>https://community.secop.gov.co/Public/Tendering/OpportunityDetail/Index?noticeUID=CO1.NTC.4293452&amp;isFromPublicArea=True&amp;isModal=False</t>
  </si>
  <si>
    <t>https://community.secop.gov.co/Public/Tendering/OpportunityDetail/Index?noticeUID=CO1.NTC.4312222&amp;isFromPublicArea=True&amp;isModal=False</t>
  </si>
  <si>
    <t>https://community.secop.gov.co/Public/Tendering/OpportunityDetail/Index?noticeUID=CO1.NTC.4350036&amp;isFromPublicArea=True&amp;isModal=False</t>
  </si>
  <si>
    <t>https://community.secop.gov.co/Public/Tendering/OpportunityDetail/Index?noticeUID=CO1.NTC.4445328&amp;isFromPublicArea=True&amp;isModal=False</t>
  </si>
  <si>
    <t>https://community.secop.gov.co/Public/Tendering/OpportunityDetail/Index?noticeUID=CO1.NTC.4508197&amp;isFromPublicArea=True&amp;isModal=False</t>
  </si>
  <si>
    <t>JUAN FERNANDO ORTIZ ARANGO</t>
  </si>
  <si>
    <t>PRESTACIÓN DE SERVICIOS PROFESIONALES DE APOYO DIRIGIDO AL COMITÉ INSTITUCIONAL DE EVENTOS Y GESTIÓN DE BIENES, EN LOS PROCESOS DE COMERCIALIZACIÓN DE ESCENARIOS Y ESPACIOS, ENLACE, RELACIONAMIENTO PÚBLICO Y ASESORÍA A LA OFICINA DE COMUNICACIONES Y MERCADEO DEL INSTITUTO, EN EL DESARROLLO DE ESTRATEGIAS DE COMUNICACIÓN</t>
  </si>
  <si>
    <t>5 meses y 15 días</t>
  </si>
  <si>
    <t>https://community.secop.gov.co/Public/Tendering/OpportunityDetail/Index?noticeUID=CO1.NTC.4740990&amp;isFromPublicArea=True&amp;isModal=False</t>
  </si>
  <si>
    <t>INSTITUTO MUNICIPAL DE CULTURA, RECREACIÓN Y DEPORTE DE ITAGÜÍ
CONSECUTIVOS CONTRATOS 2023</t>
  </si>
  <si>
    <t>LIDERES AVANZANDO EN PAZ</t>
  </si>
  <si>
    <t>ICRD-CD-023-2023</t>
  </si>
  <si>
    <t>ICRD-024-2023</t>
  </si>
  <si>
    <t>ICRD-CD-024-2023</t>
  </si>
  <si>
    <t>ICRD-025-2023</t>
  </si>
  <si>
    <t>ICRD-026-2023</t>
  </si>
  <si>
    <t>PRESTACIÓN DE SERVICIOS DE APOYO A LA GESTIÓN, PARA LLEVAR A CABO ACTIVIDADES ARTÍSTICO - CULTURALES EN EL MARCO DE LA XXXVI VERSIÓN DEL DÍA MUNDIAL DE LA PEREZA EL 20 DE AGOSTO DE 2023.</t>
  </si>
  <si>
    <t>https://community.secop.gov.co/Public/Tendering/OpportunityDetail/Index?noticeUID=CO1.NTC.4781768&amp;isFromPublicArea=True&amp;isModal=False</t>
  </si>
  <si>
    <t>ICRD-SAMC-02-2023</t>
  </si>
  <si>
    <t>ICRD-027-2023</t>
  </si>
  <si>
    <t>CONTRADANZA</t>
  </si>
  <si>
    <t>ASEGURADORA SOLIDARIA DE COLOMBIA</t>
  </si>
  <si>
    <t>PRESTACIÓN DE SERVICIOS DE APOYO A LA GESTIÓN, MEDIANTE LA REALIZACIÓN DE ACTIVIDADES LOGISTICAS, OPERATIVAS Y ASISTENCIALES EN EL MARCO DEL DESARROLLO DE LOS JUEGOS DEL SERVIDOR PÚBLICO DE ITAGÜÍ 2023</t>
  </si>
  <si>
    <t>https://community.secop.gov.co/Public/Tendering/OpportunityDetail/Index?noticeUID=CO1.NTC.4815815&amp;isFromPublicArea=True&amp;isModal=False</t>
  </si>
  <si>
    <t>PRESTACIÓN DE SERVICIOS DE APOYO A LA GESTIÓN PARA LLEVAR A CABO PRESENTACIONES EN ARTES ESCÉNICAS COMO EL TEATRO MUSICAL, EN EL MARCO DE LAS 32ª. FIESTAS DE LA INDUSTRIA, EL COMERCIO Y LA CULTURA, A CARGO DE LA SUBGERENCIA DE CULTURA DEL INSTITUTO MUNICIPAL DE CULTURA, RECREACIÓN Y DEPORTE DE ITAGÜÍ.</t>
  </si>
  <si>
    <t>https://community.secop.gov.co/Public/Tendering/OpportunityDetail/Index?noticeUID=CO1.NTC.4821987&amp;isFromPublicArea=True&amp;isModal=False</t>
  </si>
  <si>
    <t>ICRD-CD-025-2023</t>
  </si>
  <si>
    <t>ICRD-CD-026-2023</t>
  </si>
  <si>
    <t>ICRD-028-2023</t>
  </si>
  <si>
    <t>CRISTIAN CAMILO GOMEZ CASTAÑO</t>
  </si>
  <si>
    <t>https://community.secop.gov.co/Public/Tendering/OpportunityDetail/Index?noticeUID=CO1.NTC.4757415&amp;isFromPublicArea=True&amp;isModal=False</t>
  </si>
  <si>
    <t>https://community.secop.gov.co/Public/Tendering/OpportunityDetail/Index?noticeUID=CO1.NTC.4849073&amp;isFromPublicArea=True&amp;isModal=False</t>
  </si>
  <si>
    <t>PRESTACIÓN DE SERVICIOS PROFESIONALES DE COMUNICADOR SOCIAL, ASESORANDO Y APOYANDO LAS DIFERENTES ACTIVIDADES Y ACCIONES A CARGO DE LA OFICINA ASESORA DE COMUNICACIONES DEL ESTABLECIMIENTO PÚBLICO.</t>
  </si>
  <si>
    <t>Diecisiete (17) días y  cuatro (04) meses</t>
  </si>
  <si>
    <t>CONTRATAR EL PROGRAMA DE SEGUROS PARA AMPARAR AL INSTITUTO MUNICIPAL DE CULTURA, RECREACIÓN Y DEPORTE DE ITAGÜÍ POR LO QUE SEA O FUERE LEGALMENTE RESPONSABLE O LE CORRESPONDA ASEGURAR EN VIRTUD DE DISPOSICIÓN LEGAL O CONTRACTUAL.</t>
  </si>
  <si>
    <t>12 meses</t>
  </si>
  <si>
    <t>ICRD-CD-027-2023</t>
  </si>
  <si>
    <t>ICRD-029-2023</t>
  </si>
  <si>
    <t>PRESTACIÓN DE SERVICIOS PROFESIONALES QUE PERMITAN CONTINUAR LA PROMOCIÓN Y EL FOMENTO DEL DEPORTE EN TODAS SUS MANIFESTACIONES, ESTO ES, LA RECREACIÓN, EL APROVECHAMIENTO DEL TIEMPO LIBRE, EL OCIO, LA PROMOCIÓN DE ESTILOS DE VIDA SALUDABLES, LA GESTIÓN DE ESPACIOS DEPORTIVOS Y RECREATIVOS. A CARGO DEL INSTITUTO MUNICIPAL DE CULTURA, RECREACIÓN Y DEPORTE DE ITAGÜÍ DURANTE LA VIGENCIA 2023</t>
  </si>
  <si>
    <t>Tres (3) meses y diez (10) días</t>
  </si>
  <si>
    <t>ICRD-CD-028-2023</t>
  </si>
  <si>
    <t>ICRD-030-2023</t>
  </si>
  <si>
    <t>ICRD-CD-029-2023</t>
  </si>
  <si>
    <t>ICRD-CD-030-2023</t>
  </si>
  <si>
    <t>ICRD-031-2023</t>
  </si>
  <si>
    <t>ICRD-032-2023</t>
  </si>
  <si>
    <t>PRESTACIÓN DE SERVICIOS DE APOYO A LA GESTIÓN PARA SOPORTAR A LA ENTIDAD EN LA PROMOCIÓN, ESTIMULACIÓN Y FOMENTO DE LA CULTURA A TRAVÉS DEL DESARROLLO DE ACTIVIDADES DE CARÁCTER CINEMATOGRÁFICO EN “EL 6° FESTIVAL INTERNACIONAL DE CINE CIUDAD ITAGÜÍ, COLOMBIA: CINE BIEN HECHO, CINE NO VISTO -2023”, A CARGO DE LA SUBGERENCIA DE CULTURA DEL INSTITUTO MUNICIPAL DE CULTURA, RECREACIÓN Y DEPORTE DE ITAGÜÍ.</t>
  </si>
  <si>
    <t>CORPORACION SOMOS ARTE Y CULTURA PARA ANTIOQUIA</t>
  </si>
  <si>
    <t>EVENTOS PROVISIONES Y DISTRIBUCIONES LA MAYORISTA S.A.S (SIGLA: I+D GROUP)</t>
  </si>
  <si>
    <t>1 mes.</t>
  </si>
  <si>
    <t>Tres (3) meses y veintiún (21) días</t>
  </si>
  <si>
    <t>https://community.secop.gov.co/Public/Tendering/OpportunityDetail/Index?noticeUID=CO1.NTC.4974295&amp;isFromPublicArea=True&amp;isModal=False</t>
  </si>
  <si>
    <t>EL EQUIPO DEL PUEBLO S.A</t>
  </si>
  <si>
    <t>FESLIC</t>
  </si>
  <si>
    <t>ICRD-CD-031-2023</t>
  </si>
  <si>
    <t>ICRD-033-2023</t>
  </si>
  <si>
    <t>ICRD-CD-032-2023</t>
  </si>
  <si>
    <t>ICRD-034-2023</t>
  </si>
  <si>
    <t>“PRESTACIÓN DE SERVICIOS PROFESIONALES DE MEDICO EN MEDICINA DEPORTIVA, BRINDANDO ACOMPAÑAMIENTO EN EL DESARROLLO COMPETITIVO DE LOS DEPORTISTAS ITAGUISEÑOS DURANTE LOS JUEGOS DEPARTAMENTALES 2023.”</t>
  </si>
  <si>
    <t>$5.220.000</t>
  </si>
  <si>
    <t>https://community.secop.gov.co/Public/Tendering/OpportunityDetail/Index?noticeUID=CO1.NTC.5213770&amp;isFromPublicArea=True&amp;isModal=False</t>
  </si>
  <si>
    <t>SEGUIMIENTO DE LA EJECUCIÓN DE LOS CONTRATOS</t>
  </si>
  <si>
    <t xml:space="preserve">UNIDAD DE MEDIDA TIEMPO </t>
  </si>
  <si>
    <t>Valor inicial:$314.455.926
Valor adicionado: $23.822.418
Valor total: $338.278.344</t>
  </si>
  <si>
    <t>Plazo inicia: 11 meses
Plazo prorrogado: 25 días calendario.
Plazo final: 11 meses y 25 días</t>
  </si>
  <si>
    <t>ICRD-004-2023</t>
  </si>
  <si>
    <t>Valor inicial:$ 9.144.730.376
Valor adicionado:   $2.532.623.919
Valor total: $ 11.677.354.295</t>
  </si>
  <si>
    <t>Valor inicial:$1.700.000.000
Valor adicionado:   $242.857.142
Valor total: $ 1.942.857.142</t>
  </si>
  <si>
    <t>Fecha final: 30/12/2023</t>
  </si>
  <si>
    <t>Fecha final: 08/12/2023</t>
  </si>
  <si>
    <t>Fecha final: 29/12/2023</t>
  </si>
  <si>
    <t>Plazo inicia: 7 meses
Plazo prorrogado: 47 días calendario.
Plazo final: 257 días</t>
  </si>
  <si>
    <t>https://community.secop.gov.co/Public/Tendering/OpportunityDetail/Index?noticeUID=CO1.NTC.4925700&amp;isFromPublicArea=True&amp;isModal=False</t>
  </si>
  <si>
    <t>https://community.secop.gov.co/Public/Tendering/OpportunityDetail/Index?noticeUID=CO1.NTC.5215443&amp;isFromPublicArea=True&amp;isModal=False</t>
  </si>
  <si>
    <t>PRESTACIÓN DE SERVICIOS PROFESIONALES EN PSICOLOGÍA DEPORTIVA, BRINDANDO ACOMPAÑAMIENTO EN EL DESARROLLO COMPETITIVO DE LOS DEPORTISTAS ITAGUISEÑOS DURANTE LOS JUEGOS DEPARTAMENTALES 2023.</t>
  </si>
  <si>
    <t>https://community.secop.gov.co/Public/Tendering/OpportunityDetail/Index?noticeUID=CO1.NTC.5059017&amp;isFromPublicArea=True&amp;isModal=False</t>
  </si>
  <si>
    <t>PRESTACION DE SERVICIOS DE APOYO A LA GESTION, MEDIANTE PRESENTACIONES ARTISTICO CULTURALES EN LOS EVENTOS ENMARCADOS EN LA CUARTA VERSION DEL FESTIVAL DEL LIBRO Y LA CULTURA DE LA CIUDAD DE ITAGÜÍ - FESTILIBRO -, A CARGO DE LA SUBGERENCIA DE CULTURA DEL INSTITUTO MUNICIPAL DE CULTURA, RECREACION Y DEPORTE DE ITAGÜÍ.</t>
  </si>
  <si>
    <t>PRESTACION DE SERVICIOS PROFESIONALES PARA EL DESARROLLO DE ACTVIDADES EN FORMACION DEPORTIVA Y SOCIAL EXTRAESCOLAR A TRAVES DEL FUTBOL FEMENINO ENCAMINADAS A LA INTERVENCION ESPECIAL DE NIÑAS, ADOLESCENTES Y JOVENES ITAGUISEÑAS.</t>
  </si>
  <si>
    <t>PRESTACION DE SERVICIOS PROFESIONALES EN ACTIVIDADES DE ACOMPAÑAMIENTO Y SOPORTE TECNICO EN EL AREA FINANCIERA, DEL TALENTO HUMANO, ASISTENCIAL DE LA GESTION ADMINISTRATIVA Y CONTRACTUAL, A CARGO DE LA SUBGERENCIA ADMINISTRATIVA Y FINANCIERA DEL INSTITUTO MUNICIPAL DE CULTURA, RECREACION Y DEPORTE DE ITAGÜÍ.</t>
  </si>
  <si>
    <t>ICRD-CD-004-2023</t>
  </si>
  <si>
    <t>PRESTACION DE SERVICIOS PROFESIONALE ACOMPAÑANDO Y ASESORANDO A LA OFICINA ASESORA DE COMUNICACIONES EN ACTIVIDADES QUE PERMITAN EL REFUERZO DE LA ESTRATEGIA DE MEDIOS DIGITALES E INFORMATIVOS Y LA APLICACION DE CAMPAÑAS Y PIEZAS COMUNICACIONALES PARA EL FORTALECIMIENTO DE LA IMAGEN INSTITUCIONAL Y LA DIFUSIÓN DE LA GESTION DEL INSTITUTO DE CULTURA, RECREACION Y DEPORTE DE ITAGÜÍ</t>
  </si>
  <si>
    <t>PRESTACIÓN DE SERVICIOS PROFESIONALES QUE PERMITAN LA PROMOCIÓN Y EL FOMENTO DEL DEPORTE EN TODAS SUS MANIFESTACIONES, ESTO ES, LA RECREACIÓN, EL APROVECHAMIENTO DEL TIEMPO LIBRE, EL OCIO, LA PROMOCIÓN DE ESTILOS DE VIDA SALUDABLES, LA GESTIÓN DE ESPACIOS DEPORTIVOS Y RECREATIVOS. A CARGO DEL INSTITUTO MUNICIPAL DE CULTURA, RECREACIÓN Y DEPORTE DE ITAGÜÍ DURANTE LA VIGENCIA 2023.</t>
  </si>
  <si>
    <t>Fecha Final:05/09/2023</t>
  </si>
  <si>
    <t>PRESTACION DE SERVICIOS PROFESIONALES BRINDANDO SOPORTE AL PROYECTO FORTALECIMIENTO Y CONSOLIDACION CULTURAL DE ITAGÜÍ, A TRAVES DE ESTRATEGIAS DE FUNCIONAMIENTO ESTRUCTURACION, CONTROL SEGUIMIENTO FORTALECIMIENTO Y DIRECCION DE LA ESCUELA DE MUSICA DE ITAGÜÍ Y LA BANDA SINFONICA CIUDAD DE ITAGÜÍ ADEMAS DE LA COORDINACION DE LA RED DE BANDAS A CARGO DE LA SUBGERENCIA DE CULTURA DEL INSTITUTO MUNICIPAL DE CULTURA RECREACION Y DEPORTE.</t>
  </si>
  <si>
    <t>PRESTACION DE SERVICIOS DE APOYO A LA GESTION, MEDIANTE PRESENTACIONES ARTISTICO CULTURALES DIRIGIDAS AL PROGRAMA AGENDA CULTURAL Y CIRCULACION ARTÍSTICA, A TRAVES DE MUESTRAS MUSICALES EN LA SEMANA SANTA, A CARGO DE LA SUBGERENCIA DE CULTURA DEL INSTITUTO MUNICIPAL DE CULTURA, RECREACION Y DEPORTE DE ITAGÜÍ.</t>
  </si>
  <si>
    <t>Fecha final: 08/08/2024</t>
  </si>
  <si>
    <t>community.secop.gov.co/Public/Tendering/OpportunityDetail/Index?noticeUID=CO1.NTC.5002005&amp;isFromPublicArea=True&amp;isModal=False</t>
  </si>
  <si>
    <t>Fecha final: 28/04/2024</t>
  </si>
  <si>
    <t>Valor inicial:$12.042.315.858
Valor adicionado:$524.366.220
Valor total: $12.566.682.078
Reintegro:$461.587.411
Valor total del contrato: $12.105.094.667</t>
  </si>
  <si>
    <t>Tiempo inicial: Tres (3) meses
Adición en tiempo
Plazo final: 7 meses.</t>
  </si>
  <si>
    <t>ENERO %</t>
  </si>
  <si>
    <t>FEBRERO%</t>
  </si>
  <si>
    <t>MARZO%</t>
  </si>
  <si>
    <t>ABRIL%</t>
  </si>
  <si>
    <t>MAYO%</t>
  </si>
  <si>
    <t>JUNIO%</t>
  </si>
  <si>
    <t>JULIO%</t>
  </si>
  <si>
    <t>AGOSTO%</t>
  </si>
  <si>
    <t>SEPTIEMBRE%</t>
  </si>
  <si>
    <t>OCTUBRE%</t>
  </si>
  <si>
    <t>NOVIEMBRE%</t>
  </si>
  <si>
    <t>DICIEMBRE%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</si>
</sst>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[$-C0A]d\-mmm\-yy;@"/>
    <numFmt numFmtId="165" formatCode="_-[$$-240A]\ * #,##0_-;\-[$$-240A]\ * #,##0_-;_-[$$-240A]\ * &quot;-&quot;_-;_-@_-"/>
    <numFmt numFmtId="166" formatCode="_(&quot;$&quot;* #,##0_);_(&quot;$&quot;* \(#,##0\);_(&quot;$&quot;* &quot;-&quot;??_);_(@_)"/>
    <numFmt numFmtId="167" formatCode="dd\-mm\-yy;@"/>
    <numFmt numFmtId="168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u/>
      <sz val="8"/>
      <color rgb="FF0070C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64" fontId="5" fillId="0" borderId="16" xfId="0" applyNumberFormat="1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4" fillId="0" borderId="13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13" fillId="0" borderId="0" xfId="0" applyFont="1"/>
    <xf numFmtId="2" fontId="4" fillId="0" borderId="2" xfId="0" applyNumberFormat="1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left" vertical="center"/>
    </xf>
    <xf numFmtId="2" fontId="4" fillId="0" borderId="23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7" fontId="9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6" fontId="4" fillId="0" borderId="1" xfId="1" applyNumberFormat="1" applyFont="1" applyFill="1" applyBorder="1" applyAlignment="1">
      <alignment horizontal="right" vertical="center" wrapText="1"/>
    </xf>
    <xf numFmtId="6" fontId="4" fillId="0" borderId="1" xfId="1" applyNumberFormat="1" applyFont="1" applyFill="1" applyBorder="1" applyAlignment="1">
      <alignment horizontal="right" vertical="center"/>
    </xf>
    <xf numFmtId="42" fontId="4" fillId="0" borderId="1" xfId="1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right" vertical="center"/>
    </xf>
    <xf numFmtId="167" fontId="4" fillId="0" borderId="24" xfId="0" applyNumberFormat="1" applyFont="1" applyBorder="1" applyAlignment="1">
      <alignment horizontal="left" vertical="center" wrapText="1"/>
    </xf>
    <xf numFmtId="167" fontId="4" fillId="0" borderId="24" xfId="0" applyNumberFormat="1" applyFont="1" applyBorder="1" applyAlignment="1">
      <alignment horizontal="left" vertical="center"/>
    </xf>
    <xf numFmtId="167" fontId="4" fillId="0" borderId="22" xfId="0" applyNumberFormat="1" applyFont="1" applyBorder="1" applyAlignment="1">
      <alignment horizontal="left" vertical="center"/>
    </xf>
    <xf numFmtId="167" fontId="4" fillId="0" borderId="22" xfId="0" applyNumberFormat="1" applyFont="1" applyBorder="1" applyAlignment="1">
      <alignment horizontal="left" vertical="center" wrapText="1"/>
    </xf>
    <xf numFmtId="167" fontId="4" fillId="0" borderId="2" xfId="0" applyNumberFormat="1" applyFont="1" applyBorder="1" applyAlignment="1">
      <alignment horizontal="left" vertical="center"/>
    </xf>
    <xf numFmtId="167" fontId="4" fillId="0" borderId="2" xfId="0" applyNumberFormat="1" applyFont="1" applyBorder="1" applyAlignment="1">
      <alignment horizontal="left" vertical="center" wrapText="1"/>
    </xf>
    <xf numFmtId="167" fontId="5" fillId="0" borderId="2" xfId="0" applyNumberFormat="1" applyFont="1" applyBorder="1" applyAlignment="1">
      <alignment horizontal="left" vertical="center"/>
    </xf>
    <xf numFmtId="167" fontId="5" fillId="0" borderId="2" xfId="0" applyNumberFormat="1" applyFont="1" applyBorder="1" applyAlignment="1">
      <alignment horizontal="left" vertical="center" wrapText="1"/>
    </xf>
    <xf numFmtId="167" fontId="5" fillId="0" borderId="23" xfId="0" applyNumberFormat="1" applyFont="1" applyBorder="1" applyAlignment="1">
      <alignment horizontal="left" vertical="center"/>
    </xf>
    <xf numFmtId="167" fontId="5" fillId="0" borderId="25" xfId="0" applyNumberFormat="1" applyFont="1" applyBorder="1" applyAlignment="1">
      <alignment horizontal="left" vertical="center"/>
    </xf>
    <xf numFmtId="167" fontId="5" fillId="0" borderId="22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2" fontId="4" fillId="0" borderId="18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2" fillId="0" borderId="1" xfId="2" applyFont="1" applyFill="1" applyBorder="1" applyAlignment="1">
      <alignment horizontal="left" vertical="center" wrapText="1" shrinkToFit="1"/>
    </xf>
    <xf numFmtId="0" fontId="12" fillId="0" borderId="1" xfId="2" applyFont="1" applyBorder="1" applyAlignment="1">
      <alignment wrapText="1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7" fontId="8" fillId="3" borderId="7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3926582&amp;isFromPublicArea=True&amp;isModal=False" TargetMode="External"/><Relationship Id="rId13" Type="http://schemas.openxmlformats.org/officeDocument/2006/relationships/hyperlink" Target="https://community.secop.gov.co/Public/Tendering/OpportunityDetail/Index?noticeUID=CO1.NTC.3981971&amp;isFromPublicArea=True&amp;isModal=False" TargetMode="External"/><Relationship Id="rId18" Type="http://schemas.openxmlformats.org/officeDocument/2006/relationships/hyperlink" Target="https://community.secop.gov.co/Public/Tendering/OpportunityDetail/Index?noticeUID=CO1.NTC.4297921&amp;isFromPublicArea=True&amp;isModal=False" TargetMode="External"/><Relationship Id="rId26" Type="http://schemas.openxmlformats.org/officeDocument/2006/relationships/hyperlink" Target="https://community.secop.gov.co/Public/Tendering/OpportunityDetail/Index?noticeUID=CO1.NTC.4815815&amp;isFromPublicArea=True&amp;isModal=False" TargetMode="External"/><Relationship Id="rId3" Type="http://schemas.openxmlformats.org/officeDocument/2006/relationships/hyperlink" Target="https://community.secop.gov.co/Public/Tendering/OpportunityDetail/Index?noticeUID=CO1.NTC.3724163&amp;isFromPublicArea=True&amp;isModal=False" TargetMode="External"/><Relationship Id="rId21" Type="http://schemas.openxmlformats.org/officeDocument/2006/relationships/hyperlink" Target="https://community.secop.gov.co/Public/Tendering/OpportunityDetail/Index?noticeUID=CO1.NTC.4350036&amp;isFromPublicArea=True&amp;isModal=False" TargetMode="External"/><Relationship Id="rId34" Type="http://schemas.openxmlformats.org/officeDocument/2006/relationships/hyperlink" Target="https://community.secop.gov.co/Public/Tendering/OpportunityDetail/Index?noticeUID=CO1.NTC.4974295&amp;isFromPublicArea=True&amp;isModal=False" TargetMode="External"/><Relationship Id="rId7" Type="http://schemas.openxmlformats.org/officeDocument/2006/relationships/hyperlink" Target="https://community.secop.gov.co/Public/Tendering/OpportunityDetail/Index?noticeUID=CO1.NTC.3925871&amp;isFromPublicArea=True&amp;isModal=False" TargetMode="External"/><Relationship Id="rId12" Type="http://schemas.openxmlformats.org/officeDocument/2006/relationships/hyperlink" Target="https://community.secop.gov.co/Public/Tendering/OpportunityDetail/Index?noticeUID=CO1.NTC.3939181&amp;isFromPublicArea=True&amp;isModal=False" TargetMode="External"/><Relationship Id="rId17" Type="http://schemas.openxmlformats.org/officeDocument/2006/relationships/hyperlink" Target="https://community.secop.gov.co/Public/Tendering/OpportunityDetail/Index?noticeUID=CO1.NTC.4293967&amp;isFromPublicArea=True&amp;isModal=False" TargetMode="External"/><Relationship Id="rId25" Type="http://schemas.openxmlformats.org/officeDocument/2006/relationships/hyperlink" Target="https://community.secop.gov.co/Public/Tendering/OpportunityDetail/Index?noticeUID=CO1.NTC.4781768&amp;isFromPublicArea=True&amp;isModal=False" TargetMode="External"/><Relationship Id="rId33" Type="http://schemas.openxmlformats.org/officeDocument/2006/relationships/hyperlink" Target="https://community.secop.gov.co/Public/Tendering/OpportunityDetail/Index?noticeUID=CO1.NTC.5059017&amp;isFromPublicArea=True&amp;isModal=False" TargetMode="External"/><Relationship Id="rId2" Type="http://schemas.openxmlformats.org/officeDocument/2006/relationships/hyperlink" Target="https://community.secop.gov.co/Public/Tendering/OpportunityDetail/Index?noticeUID=CO1.NTC.3717269&amp;isFromPublicArea=True&amp;isModal=False" TargetMode="External"/><Relationship Id="rId16" Type="http://schemas.openxmlformats.org/officeDocument/2006/relationships/hyperlink" Target="https://community.secop.gov.co/Public/Tendering/OpportunityDetail/Index?noticeUID=CO1.NTC.4243201&amp;isFromPublicArea=True&amp;isModal=False" TargetMode="External"/><Relationship Id="rId20" Type="http://schemas.openxmlformats.org/officeDocument/2006/relationships/hyperlink" Target="https://community.secop.gov.co/Public/Tendering/OpportunityDetail/Index?noticeUID=CO1.NTC.4312222&amp;isFromPublicArea=True&amp;isModal=False" TargetMode="External"/><Relationship Id="rId29" Type="http://schemas.openxmlformats.org/officeDocument/2006/relationships/hyperlink" Target="https://community.secop.gov.co/Public/Tendering/OpportunityDetail/Index?noticeUID=CO1.NTC.4849073&amp;isFromPublicArea=True&amp;isModal=False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community.secop.gov.co/Public/Tendering/OpportunityDetail/Index?noticeUID=CO1.NTC.3892041&amp;isFromPublicArea=True&amp;isModal=False" TargetMode="External"/><Relationship Id="rId11" Type="http://schemas.openxmlformats.org/officeDocument/2006/relationships/hyperlink" Target="https://community.secop.gov.co/Public/Tendering/OpportunityDetail/Index?noticeUID=CO1.NTC.3927336&amp;isFromPublicArea=True&amp;isModal=False" TargetMode="External"/><Relationship Id="rId24" Type="http://schemas.openxmlformats.org/officeDocument/2006/relationships/hyperlink" Target="https://community.secop.gov.co/Public/Tendering/OpportunityDetail/Index?noticeUID=CO1.NTC.4740990&amp;isFromPublicArea=True&amp;isModal=False" TargetMode="External"/><Relationship Id="rId32" Type="http://schemas.openxmlformats.org/officeDocument/2006/relationships/hyperlink" Target="https://community.secop.gov.co/Public/Tendering/OpportunityDetail/Index?noticeUID=CO1.NTC.5213770&amp;isFromPublicArea=True&amp;isModal=False" TargetMode="External"/><Relationship Id="rId5" Type="http://schemas.openxmlformats.org/officeDocument/2006/relationships/hyperlink" Target="https://community.secop.gov.co/Public/Tendering/OpportunityDetail/Index?noticeUID=CO1.NTC.3852816&amp;isFromPublicArea=True&amp;isModal=False" TargetMode="External"/><Relationship Id="rId15" Type="http://schemas.openxmlformats.org/officeDocument/2006/relationships/hyperlink" Target="https://community.secop.gov.co/Public/Tendering/OpportunityDetail/Index?noticeUID=CO1.NTC.4209022&amp;isFromPublicArea=True&amp;isModal=False" TargetMode="External"/><Relationship Id="rId23" Type="http://schemas.openxmlformats.org/officeDocument/2006/relationships/hyperlink" Target="https://community.secop.gov.co/Public/Tendering/OpportunityDetail/Index?noticeUID=CO1.NTC.4508197&amp;isFromPublicArea=True&amp;isModal=False" TargetMode="External"/><Relationship Id="rId28" Type="http://schemas.openxmlformats.org/officeDocument/2006/relationships/hyperlink" Target="https://community.secop.gov.co/Public/Tendering/OpportunityDetail/Index?noticeUID=CO1.NTC.4757415&amp;isFromPublicArea=True&amp;isModal=False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community.secop.gov.co/Public/Tendering/OpportunityDetail/Index?noticeUID=CO1.NTC.3927219&amp;isFromPublicArea=True&amp;isModal=False" TargetMode="External"/><Relationship Id="rId19" Type="http://schemas.openxmlformats.org/officeDocument/2006/relationships/hyperlink" Target="https://community.secop.gov.co/Public/Tendering/OpportunityDetail/Index?noticeUID=CO1.NTC.4293452&amp;isFromPublicArea=True&amp;isModal=False" TargetMode="External"/><Relationship Id="rId31" Type="http://schemas.openxmlformats.org/officeDocument/2006/relationships/hyperlink" Target="https://community.secop.gov.co/Public/Tendering/OpportunityDetail/Index?noticeUID=CO1.NTC.5215443&amp;isFromPublicArea=True&amp;isModal=False" TargetMode="External"/><Relationship Id="rId4" Type="http://schemas.openxmlformats.org/officeDocument/2006/relationships/hyperlink" Target="https://community.secop.gov.co/Public/Tendering/OpportunityDetail/Index?noticeUID=CO1.NTC.3826597&amp;isFromPublicArea=True&amp;isModal=False" TargetMode="External"/><Relationship Id="rId9" Type="http://schemas.openxmlformats.org/officeDocument/2006/relationships/hyperlink" Target="https://community.secop.gov.co/Public/Tendering/OpportunityDetail/Index?noticeUID=CO1.NTC.3926951&amp;isFromPublicArea=True&amp;isModal=False" TargetMode="External"/><Relationship Id="rId14" Type="http://schemas.openxmlformats.org/officeDocument/2006/relationships/hyperlink" Target="https://community.secop.gov.co/Public/Tendering/OpportunityDetail/Index?noticeUID=CO1.NTC.4007100&amp;isFromPublicArea=True&amp;isModal=False" TargetMode="External"/><Relationship Id="rId22" Type="http://schemas.openxmlformats.org/officeDocument/2006/relationships/hyperlink" Target="https://community.secop.gov.co/Public/Tendering/OpportunityDetail/Index?noticeUID=CO1.NTC.4445328&amp;isFromPublicArea=True&amp;isModal=False" TargetMode="External"/><Relationship Id="rId27" Type="http://schemas.openxmlformats.org/officeDocument/2006/relationships/hyperlink" Target="https://community.secop.gov.co/Public/Tendering/OpportunityDetail/Index?noticeUID=CO1.NTC.4821987&amp;isFromPublicArea=True&amp;isModal=False" TargetMode="External"/><Relationship Id="rId30" Type="http://schemas.openxmlformats.org/officeDocument/2006/relationships/hyperlink" Target="https://community.secop.gov.co/Public/Tendering/OpportunityDetail/Index?noticeUID=CO1.NTC.4925700&amp;isFromPublicArea=True&amp;isModal=False" TargetMode="External"/><Relationship Id="rId35" Type="http://schemas.openxmlformats.org/officeDocument/2006/relationships/hyperlink" Target="https://community.secop.gov.co/Public/Tendering/OpportunityDetail/Index?noticeUID=CO1.NTC.5002005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54"/>
  <sheetViews>
    <sheetView tabSelected="1" topLeftCell="A34" zoomScale="106" zoomScaleNormal="106" workbookViewId="0">
      <selection activeCell="A45" sqref="A45"/>
    </sheetView>
  </sheetViews>
  <sheetFormatPr baseColWidth="10" defaultRowHeight="15" x14ac:dyDescent="0.25"/>
  <cols>
    <col min="1" max="1" width="17.28515625" style="6" bestFit="1" customWidth="1"/>
    <col min="2" max="2" width="14" style="2" bestFit="1" customWidth="1"/>
    <col min="3" max="3" width="14.85546875" style="5" bestFit="1" customWidth="1"/>
    <col min="4" max="4" width="43.140625" style="1" customWidth="1"/>
    <col min="5" max="5" width="24.42578125" style="4" customWidth="1"/>
    <col min="6" max="6" width="18.5703125" style="6" customWidth="1"/>
    <col min="7" max="7" width="21.28515625" style="78" customWidth="1"/>
    <col min="8" max="8" width="16.140625" style="80" customWidth="1"/>
    <col min="9" max="9" width="13.85546875" style="82" customWidth="1"/>
    <col min="10" max="10" width="24.28515625" style="3" customWidth="1"/>
    <col min="11" max="18" width="11.42578125" style="1"/>
    <col min="19" max="19" width="14.42578125" style="1" customWidth="1"/>
    <col min="20" max="20" width="12.5703125" style="1" customWidth="1"/>
    <col min="21" max="21" width="12.7109375" style="1" customWidth="1"/>
    <col min="22" max="22" width="12.5703125" style="1" customWidth="1"/>
    <col min="23" max="16384" width="11.42578125" style="1"/>
  </cols>
  <sheetData>
    <row r="1" spans="1:75" s="57" customFormat="1" ht="18" x14ac:dyDescent="0.25">
      <c r="A1" s="121" t="s">
        <v>143</v>
      </c>
      <c r="B1" s="122"/>
      <c r="C1" s="122"/>
      <c r="D1" s="122"/>
      <c r="E1" s="122"/>
      <c r="F1" s="122"/>
      <c r="G1" s="122"/>
      <c r="H1" s="122"/>
      <c r="I1" s="122"/>
      <c r="J1" s="123"/>
      <c r="K1" s="118" t="s">
        <v>195</v>
      </c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</row>
    <row r="2" spans="1:75" s="116" customFormat="1" ht="11.25" x14ac:dyDescent="0.2">
      <c r="A2" s="124" t="s">
        <v>24</v>
      </c>
      <c r="B2" s="124" t="s">
        <v>23</v>
      </c>
      <c r="C2" s="124" t="s">
        <v>22</v>
      </c>
      <c r="D2" s="124" t="s">
        <v>21</v>
      </c>
      <c r="E2" s="125" t="s">
        <v>20</v>
      </c>
      <c r="F2" s="124" t="s">
        <v>19</v>
      </c>
      <c r="G2" s="127" t="s">
        <v>18</v>
      </c>
      <c r="H2" s="128" t="s">
        <v>17</v>
      </c>
      <c r="I2" s="131" t="s">
        <v>16</v>
      </c>
      <c r="J2" s="130" t="s">
        <v>15</v>
      </c>
      <c r="K2" s="119" t="s">
        <v>196</v>
      </c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</row>
    <row r="3" spans="1:75" s="117" customFormat="1" ht="15" customHeight="1" thickBot="1" x14ac:dyDescent="0.3">
      <c r="A3" s="124"/>
      <c r="B3" s="124"/>
      <c r="C3" s="124"/>
      <c r="D3" s="124"/>
      <c r="E3" s="126"/>
      <c r="F3" s="124"/>
      <c r="G3" s="127"/>
      <c r="H3" s="129"/>
      <c r="I3" s="132"/>
      <c r="J3" s="130"/>
      <c r="K3" s="113" t="s">
        <v>224</v>
      </c>
      <c r="L3" s="114" t="s">
        <v>225</v>
      </c>
      <c r="M3" s="114" t="s">
        <v>226</v>
      </c>
      <c r="N3" s="114" t="s">
        <v>227</v>
      </c>
      <c r="O3" s="114" t="s">
        <v>228</v>
      </c>
      <c r="P3" s="114" t="s">
        <v>229</v>
      </c>
      <c r="Q3" s="114" t="s">
        <v>230</v>
      </c>
      <c r="R3" s="114" t="s">
        <v>231</v>
      </c>
      <c r="S3" s="114" t="s">
        <v>232</v>
      </c>
      <c r="T3" s="114" t="s">
        <v>233</v>
      </c>
      <c r="U3" s="114" t="s">
        <v>234</v>
      </c>
      <c r="V3" s="115" t="s">
        <v>235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</row>
    <row r="4" spans="1:75" s="20" customFormat="1" ht="90.75" thickBot="1" x14ac:dyDescent="0.3">
      <c r="A4" s="15" t="s">
        <v>14</v>
      </c>
      <c r="B4" s="15" t="s">
        <v>13</v>
      </c>
      <c r="C4" s="16" t="s">
        <v>12</v>
      </c>
      <c r="D4" s="8" t="s">
        <v>212</v>
      </c>
      <c r="E4" s="83" t="s">
        <v>197</v>
      </c>
      <c r="F4" s="16" t="s">
        <v>198</v>
      </c>
      <c r="G4" s="17">
        <v>44931</v>
      </c>
      <c r="H4" s="18">
        <v>44931</v>
      </c>
      <c r="I4" s="94" t="s">
        <v>204</v>
      </c>
      <c r="J4" s="111" t="s">
        <v>117</v>
      </c>
      <c r="K4" s="74">
        <f>26*100/355</f>
        <v>7.323943661971831</v>
      </c>
      <c r="L4" s="21">
        <f>((30*100)/355)+K4</f>
        <v>15.774647887323944</v>
      </c>
      <c r="M4" s="21">
        <f>((30*100)/355)*2+K4</f>
        <v>24.225352112676056</v>
      </c>
      <c r="N4" s="21">
        <f>((30*100)/355)*3+K4</f>
        <v>32.676056338028168</v>
      </c>
      <c r="O4" s="21">
        <f>((30*100)/355)*4+K4</f>
        <v>41.12676056338028</v>
      </c>
      <c r="P4" s="21">
        <f>((30*100)/355)*5+K4</f>
        <v>49.577464788732392</v>
      </c>
      <c r="Q4" s="21">
        <f>((30*100)/355)*6+K4</f>
        <v>58.028169014084504</v>
      </c>
      <c r="R4" s="21">
        <f>((30*100)/355)*7+K4</f>
        <v>66.478873239436609</v>
      </c>
      <c r="S4" s="21">
        <f>((30*100)/355)*8+K4</f>
        <v>74.929577464788721</v>
      </c>
      <c r="T4" s="21">
        <f>((30*100)/355)*9+K4</f>
        <v>83.380281690140833</v>
      </c>
      <c r="U4" s="58">
        <f>((30*100)/355)*10+K4</f>
        <v>91.830985915492946</v>
      </c>
      <c r="V4" s="59">
        <v>100</v>
      </c>
    </row>
    <row r="5" spans="1:75" s="20" customFormat="1" ht="68.25" thickBot="1" x14ac:dyDescent="0.3">
      <c r="A5" s="15" t="s">
        <v>11</v>
      </c>
      <c r="B5" s="15" t="s">
        <v>10</v>
      </c>
      <c r="C5" s="16" t="s">
        <v>9</v>
      </c>
      <c r="D5" s="8" t="s">
        <v>8</v>
      </c>
      <c r="E5" s="84">
        <v>150000000</v>
      </c>
      <c r="F5" s="15" t="s">
        <v>7</v>
      </c>
      <c r="G5" s="17">
        <v>44932</v>
      </c>
      <c r="H5" s="18">
        <v>44932</v>
      </c>
      <c r="I5" s="95">
        <v>44951</v>
      </c>
      <c r="J5" s="111" t="s">
        <v>118</v>
      </c>
      <c r="K5" s="105">
        <v>100</v>
      </c>
      <c r="L5" s="60"/>
      <c r="M5" s="19"/>
      <c r="N5" s="19"/>
      <c r="O5" s="19"/>
      <c r="P5" s="19"/>
      <c r="Q5" s="19"/>
      <c r="R5" s="19"/>
      <c r="S5" s="19"/>
      <c r="T5" s="19"/>
      <c r="U5" s="19"/>
      <c r="V5" s="36"/>
    </row>
    <row r="6" spans="1:75" s="20" customFormat="1" ht="79.5" thickBot="1" x14ac:dyDescent="0.3">
      <c r="A6" s="19" t="s">
        <v>6</v>
      </c>
      <c r="B6" s="19" t="s">
        <v>5</v>
      </c>
      <c r="C6" s="8" t="s">
        <v>4</v>
      </c>
      <c r="D6" s="8" t="s">
        <v>3</v>
      </c>
      <c r="E6" s="84">
        <v>63800000</v>
      </c>
      <c r="F6" s="15" t="s">
        <v>2</v>
      </c>
      <c r="G6" s="17">
        <v>44949</v>
      </c>
      <c r="H6" s="18">
        <v>44950</v>
      </c>
      <c r="I6" s="95">
        <v>45283</v>
      </c>
      <c r="J6" s="111" t="s">
        <v>119</v>
      </c>
      <c r="K6" s="106">
        <f>7*100/330</f>
        <v>2.1212121212121211</v>
      </c>
      <c r="L6" s="21">
        <f>((30*100)/330)+K6</f>
        <v>11.212121212121213</v>
      </c>
      <c r="M6" s="21">
        <f>((30*100)/330)*2+K6</f>
        <v>20.303030303030305</v>
      </c>
      <c r="N6" s="21">
        <f>((30*100)/330)*3+K6</f>
        <v>29.393939393939394</v>
      </c>
      <c r="O6" s="21">
        <f>((30*100)/330)*4+K6</f>
        <v>38.484848484848484</v>
      </c>
      <c r="P6" s="21">
        <f>((30*100)/330)*5+K6</f>
        <v>47.575757575757578</v>
      </c>
      <c r="Q6" s="21">
        <f>((30*100)/330)*6+K6</f>
        <v>56.666666666666671</v>
      </c>
      <c r="R6" s="21">
        <f>((30*100)/330)*7+K6</f>
        <v>65.757575757575765</v>
      </c>
      <c r="S6" s="21">
        <f>((30*100)/330)*8+K6</f>
        <v>74.848484848484858</v>
      </c>
      <c r="T6" s="21">
        <f>((30*100)/330)*9+K6</f>
        <v>83.939393939393952</v>
      </c>
      <c r="U6" s="58">
        <f>((30*100)/330)*10+K6</f>
        <v>93.030303030303045</v>
      </c>
      <c r="V6" s="59">
        <v>100</v>
      </c>
    </row>
    <row r="7" spans="1:75" s="20" customFormat="1" ht="105" customHeight="1" thickBot="1" x14ac:dyDescent="0.3">
      <c r="A7" s="19" t="s">
        <v>213</v>
      </c>
      <c r="B7" s="19" t="s">
        <v>199</v>
      </c>
      <c r="C7" s="8" t="s">
        <v>25</v>
      </c>
      <c r="D7" s="8" t="s">
        <v>214</v>
      </c>
      <c r="E7" s="85" t="s">
        <v>26</v>
      </c>
      <c r="F7" s="15" t="s">
        <v>2</v>
      </c>
      <c r="G7" s="17">
        <v>44952</v>
      </c>
      <c r="H7" s="22">
        <v>44956</v>
      </c>
      <c r="I7" s="96">
        <v>45289</v>
      </c>
      <c r="J7" s="48" t="s">
        <v>120</v>
      </c>
      <c r="K7" s="107">
        <f>1*100/330</f>
        <v>0.30303030303030304</v>
      </c>
      <c r="L7" s="21">
        <f>((30*100)/330)+K7</f>
        <v>9.3939393939393945</v>
      </c>
      <c r="M7" s="21">
        <f>((30*100)/330)*2+K7</f>
        <v>18.484848484848488</v>
      </c>
      <c r="N7" s="21">
        <f>((30*100)/330)*3+K7</f>
        <v>27.575757575757578</v>
      </c>
      <c r="O7" s="61">
        <f>((30*100)/330)*4+K7</f>
        <v>36.666666666666671</v>
      </c>
      <c r="P7" s="21">
        <f>((30*100)/330)*5+K7</f>
        <v>45.757575757575765</v>
      </c>
      <c r="Q7" s="21">
        <f>((30*100)/330)*6+K7</f>
        <v>54.848484848484851</v>
      </c>
      <c r="R7" s="21">
        <f>((30*100)/330)*7+K7</f>
        <v>63.939393939393945</v>
      </c>
      <c r="S7" s="21">
        <f>((30*100)/330)*8+K7</f>
        <v>73.030303030303031</v>
      </c>
      <c r="T7" s="21">
        <f>((30*100)/330)*9+K7</f>
        <v>82.121212121212125</v>
      </c>
      <c r="U7" s="58">
        <f>((30*100)/330)*10+K7</f>
        <v>91.212121212121218</v>
      </c>
      <c r="V7" s="64">
        <v>100</v>
      </c>
    </row>
    <row r="8" spans="1:75" s="20" customFormat="1" ht="81" customHeight="1" thickBot="1" x14ac:dyDescent="0.3">
      <c r="A8" s="19" t="s">
        <v>1</v>
      </c>
      <c r="B8" s="8" t="s">
        <v>0</v>
      </c>
      <c r="C8" s="8" t="s">
        <v>27</v>
      </c>
      <c r="D8" s="8" t="s">
        <v>28</v>
      </c>
      <c r="E8" s="86" t="s">
        <v>29</v>
      </c>
      <c r="F8" s="8" t="s">
        <v>30</v>
      </c>
      <c r="G8" s="17">
        <v>44957</v>
      </c>
      <c r="H8" s="22">
        <v>44958</v>
      </c>
      <c r="I8" s="96">
        <v>45077</v>
      </c>
      <c r="J8" s="48" t="s">
        <v>121</v>
      </c>
      <c r="K8" s="71"/>
      <c r="L8" s="66">
        <v>25</v>
      </c>
      <c r="M8" s="66">
        <v>50</v>
      </c>
      <c r="N8" s="70">
        <v>75</v>
      </c>
      <c r="O8" s="67">
        <v>100</v>
      </c>
      <c r="P8" s="71"/>
      <c r="Q8" s="66"/>
      <c r="R8" s="66"/>
      <c r="S8" s="66"/>
      <c r="T8" s="19"/>
      <c r="U8" s="19"/>
      <c r="V8" s="29"/>
    </row>
    <row r="9" spans="1:75" s="20" customFormat="1" ht="106.5" customHeight="1" thickBot="1" x14ac:dyDescent="0.3">
      <c r="A9" s="19" t="s">
        <v>34</v>
      </c>
      <c r="B9" s="19" t="s">
        <v>31</v>
      </c>
      <c r="C9" s="16" t="s">
        <v>9</v>
      </c>
      <c r="D9" s="8" t="s">
        <v>215</v>
      </c>
      <c r="E9" s="87" t="s">
        <v>222</v>
      </c>
      <c r="F9" s="8" t="s">
        <v>32</v>
      </c>
      <c r="G9" s="17">
        <v>44960</v>
      </c>
      <c r="H9" s="22">
        <v>44963</v>
      </c>
      <c r="I9" s="97" t="s">
        <v>216</v>
      </c>
      <c r="J9" s="48" t="s">
        <v>122</v>
      </c>
      <c r="K9" s="60"/>
      <c r="L9" s="21">
        <f>25*100/210</f>
        <v>11.904761904761905</v>
      </c>
      <c r="M9" s="21">
        <f>((30*100)/210)+L9</f>
        <v>26.19047619047619</v>
      </c>
      <c r="N9" s="21">
        <f>((30*100)/210)*2+L9</f>
        <v>40.476190476190482</v>
      </c>
      <c r="O9" s="21">
        <f>((30*100)/210)*3+L9</f>
        <v>54.761904761904766</v>
      </c>
      <c r="P9" s="21">
        <f>((30*100)/210)*4+L9</f>
        <v>69.047619047619051</v>
      </c>
      <c r="Q9" s="21">
        <f>((30*100)/210)*5+L9</f>
        <v>83.333333333333343</v>
      </c>
      <c r="R9" s="58">
        <f>((30*100)/210)*6+L9</f>
        <v>97.61904761904762</v>
      </c>
      <c r="S9" s="72">
        <v>100</v>
      </c>
      <c r="T9" s="60"/>
      <c r="U9" s="19"/>
      <c r="V9" s="66"/>
    </row>
    <row r="10" spans="1:75" s="20" customFormat="1" ht="79.5" thickBot="1" x14ac:dyDescent="0.3">
      <c r="A10" s="19" t="s">
        <v>33</v>
      </c>
      <c r="B10" s="19" t="s">
        <v>35</v>
      </c>
      <c r="C10" s="8" t="s">
        <v>36</v>
      </c>
      <c r="D10" s="8" t="s">
        <v>37</v>
      </c>
      <c r="E10" s="86" t="s">
        <v>38</v>
      </c>
      <c r="F10" s="8" t="s">
        <v>39</v>
      </c>
      <c r="G10" s="17">
        <v>44960</v>
      </c>
      <c r="H10" s="22">
        <v>44960</v>
      </c>
      <c r="I10" s="98">
        <v>45291</v>
      </c>
      <c r="J10" s="48" t="s">
        <v>123</v>
      </c>
      <c r="K10" s="108"/>
      <c r="L10" s="62">
        <f>26*100/329</f>
        <v>7.9027355623100304</v>
      </c>
      <c r="M10" s="62">
        <f>((30*100)/329)+L10</f>
        <v>17.021276595744681</v>
      </c>
      <c r="N10" s="62">
        <f>((30*100)/329)*2+L10</f>
        <v>26.139817629179333</v>
      </c>
      <c r="O10" s="62">
        <f>((30*100)/329)*3+L10</f>
        <v>35.258358662613979</v>
      </c>
      <c r="P10" s="62">
        <f>((30*100)/329)*4+L10</f>
        <v>44.376899696048632</v>
      </c>
      <c r="Q10" s="62">
        <f>((30*100)/329)*5+L10</f>
        <v>53.495440729483285</v>
      </c>
      <c r="R10" s="62">
        <f>((30*100)/329)*6+L10</f>
        <v>62.61398176291793</v>
      </c>
      <c r="S10" s="62">
        <f>((30*100)/329)*7+L10</f>
        <v>71.732522796352583</v>
      </c>
      <c r="T10" s="21">
        <f>((30*100)/329)*8+L10</f>
        <v>80.851063829787236</v>
      </c>
      <c r="U10" s="58">
        <f>((30*100)/329)*9+L10</f>
        <v>89.969604863221889</v>
      </c>
      <c r="V10" s="67">
        <v>100</v>
      </c>
    </row>
    <row r="11" spans="1:75" s="20" customFormat="1" ht="79.5" thickBot="1" x14ac:dyDescent="0.3">
      <c r="A11" s="19" t="s">
        <v>40</v>
      </c>
      <c r="B11" s="19" t="s">
        <v>41</v>
      </c>
      <c r="C11" s="8" t="s">
        <v>43</v>
      </c>
      <c r="D11" s="8" t="s">
        <v>42</v>
      </c>
      <c r="E11" s="88" t="s">
        <v>44</v>
      </c>
      <c r="F11" s="8" t="s">
        <v>39</v>
      </c>
      <c r="G11" s="17">
        <v>44960</v>
      </c>
      <c r="H11" s="22">
        <v>44960</v>
      </c>
      <c r="I11" s="98">
        <v>45291</v>
      </c>
      <c r="J11" s="48" t="s">
        <v>124</v>
      </c>
      <c r="K11" s="60"/>
      <c r="L11" s="21">
        <f>26*100/329</f>
        <v>7.9027355623100304</v>
      </c>
      <c r="M11" s="21">
        <f>((30*100)/329)+L11</f>
        <v>17.021276595744681</v>
      </c>
      <c r="N11" s="21">
        <f>((30*100)/329)*2+L11</f>
        <v>26.139817629179333</v>
      </c>
      <c r="O11" s="21">
        <f>((30*100)/329)*3+L11</f>
        <v>35.258358662613979</v>
      </c>
      <c r="P11" s="21">
        <f>((30*100)/329)*4+L11</f>
        <v>44.376899696048632</v>
      </c>
      <c r="Q11" s="21">
        <f>((30*100)/329)*5+L11</f>
        <v>53.495440729483285</v>
      </c>
      <c r="R11" s="21">
        <f>((30*100)/329)*6+L11</f>
        <v>62.61398176291793</v>
      </c>
      <c r="S11" s="21">
        <f>((30*100)/329)*7+L11</f>
        <v>71.732522796352583</v>
      </c>
      <c r="T11" s="21">
        <f>((30*100)/329)*8+L11</f>
        <v>80.851063829787236</v>
      </c>
      <c r="U11" s="58">
        <f>((30*100)/329)*9+L11</f>
        <v>89.969604863221889</v>
      </c>
      <c r="V11" s="63">
        <v>100</v>
      </c>
    </row>
    <row r="12" spans="1:75" s="20" customFormat="1" ht="120" customHeight="1" thickBot="1" x14ac:dyDescent="0.3">
      <c r="A12" s="19" t="s">
        <v>46</v>
      </c>
      <c r="B12" s="19" t="s">
        <v>47</v>
      </c>
      <c r="C12" s="8" t="s">
        <v>48</v>
      </c>
      <c r="D12" s="8" t="s">
        <v>45</v>
      </c>
      <c r="E12" s="86" t="s">
        <v>49</v>
      </c>
      <c r="F12" s="8" t="s">
        <v>39</v>
      </c>
      <c r="G12" s="17">
        <v>44960</v>
      </c>
      <c r="H12" s="22">
        <v>44960</v>
      </c>
      <c r="I12" s="98">
        <v>45291</v>
      </c>
      <c r="J12" s="48" t="s">
        <v>125</v>
      </c>
      <c r="K12" s="108"/>
      <c r="L12" s="21">
        <f>26*100/329</f>
        <v>7.9027355623100304</v>
      </c>
      <c r="M12" s="21">
        <f>((30*100)/329)+L12</f>
        <v>17.021276595744681</v>
      </c>
      <c r="N12" s="21">
        <f>((30*100)/329)*2+L12</f>
        <v>26.139817629179333</v>
      </c>
      <c r="O12" s="21">
        <f>((30*100)/329)*3+L12</f>
        <v>35.258358662613979</v>
      </c>
      <c r="P12" s="21">
        <f>((30*100)/329)*4+L12</f>
        <v>44.376899696048632</v>
      </c>
      <c r="Q12" s="21">
        <f>((30*100)/329)*5+L12</f>
        <v>53.495440729483285</v>
      </c>
      <c r="R12" s="21">
        <f>((30*100)/329)*6+L12</f>
        <v>62.61398176291793</v>
      </c>
      <c r="S12" s="21">
        <f>((30*100)/329)*7+L12</f>
        <v>71.732522796352583</v>
      </c>
      <c r="T12" s="21">
        <f>((30*100)/329)*8+L12</f>
        <v>80.851063829787236</v>
      </c>
      <c r="U12" s="58">
        <f>((30*100)/329)*9+L12</f>
        <v>89.969604863221889</v>
      </c>
      <c r="V12" s="68">
        <v>100</v>
      </c>
    </row>
    <row r="13" spans="1:75" s="20" customFormat="1" ht="120.75" customHeight="1" thickBot="1" x14ac:dyDescent="0.3">
      <c r="A13" s="19" t="s">
        <v>52</v>
      </c>
      <c r="B13" s="19" t="s">
        <v>53</v>
      </c>
      <c r="C13" s="8" t="s">
        <v>51</v>
      </c>
      <c r="D13" s="8" t="s">
        <v>217</v>
      </c>
      <c r="E13" s="86" t="s">
        <v>50</v>
      </c>
      <c r="F13" s="8" t="s">
        <v>54</v>
      </c>
      <c r="G13" s="17">
        <v>44960</v>
      </c>
      <c r="H13" s="23">
        <v>44963</v>
      </c>
      <c r="I13" s="98">
        <v>45291</v>
      </c>
      <c r="J13" s="48" t="s">
        <v>126</v>
      </c>
      <c r="K13" s="60"/>
      <c r="L13" s="21">
        <f>23*100/326</f>
        <v>7.0552147239263805</v>
      </c>
      <c r="M13" s="21">
        <f>((30*100)/326)+L13</f>
        <v>16.257668711656443</v>
      </c>
      <c r="N13" s="21">
        <f>((30*100)/326)*2+L13</f>
        <v>25.460122699386503</v>
      </c>
      <c r="O13" s="21">
        <f>((30*100)/326)*3+L13</f>
        <v>34.662576687116569</v>
      </c>
      <c r="P13" s="21">
        <f>((30*100)/326)*4+L13</f>
        <v>43.865030674846629</v>
      </c>
      <c r="Q13" s="21">
        <f>((30*100)/326)*5+L13</f>
        <v>53.067484662576689</v>
      </c>
      <c r="R13" s="21">
        <f>((30*100)/326)*6+L13</f>
        <v>62.269938650306756</v>
      </c>
      <c r="S13" s="21">
        <f>((30*100)/326)*7+L13</f>
        <v>71.472392638036808</v>
      </c>
      <c r="T13" s="21">
        <f>((30*100)/326)*8+L13</f>
        <v>80.674846625766875</v>
      </c>
      <c r="U13" s="58">
        <f>((30*100)/326)*9+L13</f>
        <v>89.877300613496942</v>
      </c>
      <c r="V13" s="59">
        <v>100</v>
      </c>
    </row>
    <row r="14" spans="1:75" s="20" customFormat="1" ht="68.25" thickBot="1" x14ac:dyDescent="0.3">
      <c r="A14" s="19" t="s">
        <v>56</v>
      </c>
      <c r="B14" s="19" t="s">
        <v>57</v>
      </c>
      <c r="C14" s="8" t="s">
        <v>58</v>
      </c>
      <c r="D14" s="8" t="s">
        <v>55</v>
      </c>
      <c r="E14" s="86" t="s">
        <v>59</v>
      </c>
      <c r="F14" s="8" t="s">
        <v>60</v>
      </c>
      <c r="G14" s="17">
        <v>44963</v>
      </c>
      <c r="H14" s="22">
        <v>44964</v>
      </c>
      <c r="I14" s="98">
        <v>45290</v>
      </c>
      <c r="J14" s="48" t="s">
        <v>127</v>
      </c>
      <c r="K14" s="60"/>
      <c r="L14" s="21">
        <f>22*100/325</f>
        <v>6.7692307692307692</v>
      </c>
      <c r="M14" s="21">
        <f>((30*100)/325)+L14</f>
        <v>16</v>
      </c>
      <c r="N14" s="21">
        <f>((30*100)/325)*2+L14</f>
        <v>25.23076923076923</v>
      </c>
      <c r="O14" s="21">
        <f>((30*100)/325)*3+L14</f>
        <v>34.46153846153846</v>
      </c>
      <c r="P14" s="21">
        <f>((30*100)/325)*4+L14</f>
        <v>43.692307692307686</v>
      </c>
      <c r="Q14" s="21">
        <f>((30*100)/325)*5+L14</f>
        <v>52.923076923076913</v>
      </c>
      <c r="R14" s="21">
        <f>((30*100)/325)*6+L14</f>
        <v>62.153846153846146</v>
      </c>
      <c r="S14" s="21">
        <f>((30*100)/325)*7+L14</f>
        <v>71.384615384615387</v>
      </c>
      <c r="T14" s="21">
        <f>((30*100)/325)*8+L14</f>
        <v>80.615384615384613</v>
      </c>
      <c r="U14" s="58">
        <f>((30*100)/325)*9+L14</f>
        <v>89.84615384615384</v>
      </c>
      <c r="V14" s="59">
        <v>100</v>
      </c>
    </row>
    <row r="15" spans="1:75" s="20" customFormat="1" ht="68.25" thickBot="1" x14ac:dyDescent="0.3">
      <c r="A15" s="19" t="s">
        <v>71</v>
      </c>
      <c r="B15" s="19" t="s">
        <v>67</v>
      </c>
      <c r="C15" s="8" t="s">
        <v>61</v>
      </c>
      <c r="D15" s="8" t="s">
        <v>62</v>
      </c>
      <c r="E15" s="86" t="s">
        <v>63</v>
      </c>
      <c r="F15" s="8" t="s">
        <v>64</v>
      </c>
      <c r="G15" s="17">
        <v>44967</v>
      </c>
      <c r="H15" s="22">
        <v>44970</v>
      </c>
      <c r="I15" s="98">
        <v>45291</v>
      </c>
      <c r="J15" s="48" t="s">
        <v>128</v>
      </c>
      <c r="K15" s="60"/>
      <c r="L15" s="21">
        <f>16*100/319</f>
        <v>5.015673981191223</v>
      </c>
      <c r="M15" s="21">
        <f>((30*100)/319)+L15</f>
        <v>14.420062695924766</v>
      </c>
      <c r="N15" s="21">
        <f>((30*100)/319)*2+L15</f>
        <v>23.824451410658309</v>
      </c>
      <c r="O15" s="21">
        <f>((30*100)/319)*3+L15</f>
        <v>33.228840125391848</v>
      </c>
      <c r="P15" s="21">
        <f>((30*100)/319)*4+L15</f>
        <v>42.63322884012539</v>
      </c>
      <c r="Q15" s="21">
        <f>((30*100)/319)*5+L15</f>
        <v>52.037617554858933</v>
      </c>
      <c r="R15" s="21">
        <f>((30*100)/319)*6+L15</f>
        <v>61.442006269592476</v>
      </c>
      <c r="S15" s="21">
        <f>((30*100)/319)*7+L15</f>
        <v>70.846394984326025</v>
      </c>
      <c r="T15" s="21">
        <f>((30*100)/319)*8+L15</f>
        <v>80.250783699059568</v>
      </c>
      <c r="U15" s="21">
        <f>((30*100)/319)*9+L15</f>
        <v>89.65517241379311</v>
      </c>
      <c r="V15" s="59">
        <v>100</v>
      </c>
    </row>
    <row r="16" spans="1:75" s="24" customFormat="1" ht="102" thickBot="1" x14ac:dyDescent="0.3">
      <c r="A16" s="19" t="s">
        <v>65</v>
      </c>
      <c r="B16" s="19" t="s">
        <v>66</v>
      </c>
      <c r="C16" s="8" t="s">
        <v>69</v>
      </c>
      <c r="D16" s="8" t="s">
        <v>68</v>
      </c>
      <c r="E16" s="83" t="s">
        <v>200</v>
      </c>
      <c r="F16" s="19" t="s">
        <v>70</v>
      </c>
      <c r="G16" s="17">
        <v>44979</v>
      </c>
      <c r="H16" s="22">
        <v>44981</v>
      </c>
      <c r="I16" s="99" t="s">
        <v>203</v>
      </c>
      <c r="J16" s="48" t="s">
        <v>129</v>
      </c>
      <c r="K16" s="109"/>
      <c r="L16" s="21">
        <f>5*100/285</f>
        <v>1.7543859649122806</v>
      </c>
      <c r="M16" s="21">
        <f>((30*100)/285)+L16</f>
        <v>12.280701754385966</v>
      </c>
      <c r="N16" s="21">
        <f>((30*100)/285)*2+L16</f>
        <v>22.807017543859651</v>
      </c>
      <c r="O16" s="21">
        <f>((30*100)/285)*3+L16</f>
        <v>33.333333333333336</v>
      </c>
      <c r="P16" s="21">
        <f>((30*100)/285)*4+L16</f>
        <v>43.859649122807021</v>
      </c>
      <c r="Q16" s="21">
        <f>((30*100)/285)*5+L16</f>
        <v>54.385964912280706</v>
      </c>
      <c r="R16" s="21">
        <f>((30*100)/285)*6+L16</f>
        <v>64.912280701754383</v>
      </c>
      <c r="S16" s="21">
        <f>((30*100)/285)*7+L16</f>
        <v>75.438596491228068</v>
      </c>
      <c r="T16" s="21">
        <f>((30*100)/285)*8+L16</f>
        <v>85.964912280701753</v>
      </c>
      <c r="U16" s="21">
        <f>((30*100)/285)*9+L16</f>
        <v>96.491228070175438</v>
      </c>
      <c r="V16" s="59">
        <v>100</v>
      </c>
      <c r="W16" s="42"/>
      <c r="X16" s="42"/>
      <c r="Y16" s="42"/>
      <c r="Z16" s="42"/>
    </row>
    <row r="17" spans="1:242" s="24" customFormat="1" ht="79.5" thickBot="1" x14ac:dyDescent="0.3">
      <c r="A17" s="19" t="s">
        <v>72</v>
      </c>
      <c r="B17" s="19" t="s">
        <v>73</v>
      </c>
      <c r="C17" s="8" t="s">
        <v>75</v>
      </c>
      <c r="D17" s="8" t="s">
        <v>74</v>
      </c>
      <c r="E17" s="86" t="s">
        <v>76</v>
      </c>
      <c r="F17" s="19" t="s">
        <v>77</v>
      </c>
      <c r="G17" s="17">
        <v>45008</v>
      </c>
      <c r="H17" s="22">
        <v>45009</v>
      </c>
      <c r="I17" s="98">
        <v>45192</v>
      </c>
      <c r="J17" s="48" t="s">
        <v>130</v>
      </c>
      <c r="K17" s="109"/>
      <c r="L17" s="21">
        <f>7*100/180</f>
        <v>3.8888888888888888</v>
      </c>
      <c r="M17" s="61">
        <f>((30*100)/180)+L17</f>
        <v>20.555555555555557</v>
      </c>
      <c r="N17" s="61">
        <f>((30*100)/180)*2+L17</f>
        <v>37.222222222222221</v>
      </c>
      <c r="O17" s="21">
        <f>((30*100)/180)*3+L17</f>
        <v>53.888888888888886</v>
      </c>
      <c r="P17" s="21">
        <f>((30*100)/180)*4+L17</f>
        <v>70.555555555555557</v>
      </c>
      <c r="Q17" s="21">
        <f>((30*100)/180)*5+L17</f>
        <v>87.222222222222229</v>
      </c>
      <c r="R17" s="59">
        <v>100</v>
      </c>
      <c r="S17" s="21"/>
      <c r="T17" s="21"/>
      <c r="U17" s="21"/>
      <c r="V17" s="19"/>
      <c r="W17" s="42"/>
      <c r="X17" s="42"/>
      <c r="Y17" s="42"/>
      <c r="Z17" s="42"/>
    </row>
    <row r="18" spans="1:242" s="24" customFormat="1" ht="79.5" thickBot="1" x14ac:dyDescent="0.3">
      <c r="A18" s="19" t="s">
        <v>78</v>
      </c>
      <c r="B18" s="19" t="s">
        <v>79</v>
      </c>
      <c r="C18" s="16" t="s">
        <v>12</v>
      </c>
      <c r="D18" s="8" t="s">
        <v>218</v>
      </c>
      <c r="E18" s="89" t="s">
        <v>80</v>
      </c>
      <c r="F18" s="25" t="s">
        <v>81</v>
      </c>
      <c r="G18" s="26">
        <v>45015</v>
      </c>
      <c r="H18" s="27">
        <v>45016</v>
      </c>
      <c r="I18" s="100">
        <v>45030</v>
      </c>
      <c r="J18" s="48" t="s">
        <v>131</v>
      </c>
      <c r="K18" s="109"/>
      <c r="L18" s="69"/>
      <c r="M18" s="21">
        <f>1*100/15</f>
        <v>6.666666666666667</v>
      </c>
      <c r="N18" s="59">
        <v>100</v>
      </c>
      <c r="O18" s="60"/>
      <c r="P18" s="19"/>
      <c r="Q18" s="19"/>
      <c r="R18" s="19"/>
      <c r="S18" s="19"/>
      <c r="T18" s="19"/>
      <c r="U18" s="19"/>
      <c r="V18" s="19"/>
      <c r="W18" s="42"/>
      <c r="X18" s="42"/>
      <c r="Y18" s="42"/>
      <c r="Z18" s="42"/>
      <c r="IH18" s="19"/>
    </row>
    <row r="19" spans="1:242" s="24" customFormat="1" ht="68.25" thickBot="1" x14ac:dyDescent="0.3">
      <c r="A19" s="19" t="s">
        <v>82</v>
      </c>
      <c r="B19" s="19" t="s">
        <v>83</v>
      </c>
      <c r="C19" s="8" t="s">
        <v>85</v>
      </c>
      <c r="D19" s="8" t="s">
        <v>84</v>
      </c>
      <c r="E19" s="90" t="s">
        <v>201</v>
      </c>
      <c r="F19" s="28" t="s">
        <v>205</v>
      </c>
      <c r="G19" s="23">
        <v>45029</v>
      </c>
      <c r="H19" s="27">
        <v>45030</v>
      </c>
      <c r="I19" s="101" t="s">
        <v>202</v>
      </c>
      <c r="J19" s="48" t="s">
        <v>132</v>
      </c>
      <c r="K19" s="109"/>
      <c r="L19" s="41"/>
      <c r="M19" s="29"/>
      <c r="N19" s="21">
        <f>17*100/257</f>
        <v>6.6147859922178984</v>
      </c>
      <c r="O19" s="61">
        <f>((30*100)/257)+N19</f>
        <v>18.28793774319066</v>
      </c>
      <c r="P19" s="61">
        <f>((30*100)/257)*2+N19</f>
        <v>29.961089494163424</v>
      </c>
      <c r="Q19" s="61">
        <f>((30*100)/257)*3+N19</f>
        <v>41.634241245136181</v>
      </c>
      <c r="R19" s="61">
        <f>((30*100)/257)*4+N19</f>
        <v>53.307392996108945</v>
      </c>
      <c r="S19" s="61">
        <f>((30*100)/257)*5+N19</f>
        <v>64.980544747081709</v>
      </c>
      <c r="T19" s="61">
        <f>((30*100)/257)*6+N19</f>
        <v>76.653696498054472</v>
      </c>
      <c r="U19" s="61">
        <f>((30*100)/257)*7+N19</f>
        <v>88.326848249027236</v>
      </c>
      <c r="V19" s="59">
        <v>100</v>
      </c>
      <c r="W19" s="42"/>
      <c r="X19" s="42"/>
      <c r="Y19" s="42"/>
      <c r="Z19" s="42"/>
      <c r="IH19" s="19"/>
    </row>
    <row r="20" spans="1:242" s="24" customFormat="1" ht="79.5" thickBot="1" x14ac:dyDescent="0.3">
      <c r="A20" s="19" t="s">
        <v>86</v>
      </c>
      <c r="B20" s="19" t="s">
        <v>87</v>
      </c>
      <c r="C20" s="8" t="s">
        <v>88</v>
      </c>
      <c r="D20" s="28" t="s">
        <v>89</v>
      </c>
      <c r="E20" s="86" t="s">
        <v>90</v>
      </c>
      <c r="F20" s="28" t="s">
        <v>91</v>
      </c>
      <c r="G20" s="23">
        <v>45029</v>
      </c>
      <c r="H20" s="22">
        <v>45033</v>
      </c>
      <c r="I20" s="100">
        <v>45276</v>
      </c>
      <c r="J20" s="48" t="s">
        <v>133</v>
      </c>
      <c r="K20" s="109"/>
      <c r="L20" s="41"/>
      <c r="M20" s="19"/>
      <c r="N20" s="21">
        <f>14*100/240</f>
        <v>5.833333333333333</v>
      </c>
      <c r="O20" s="61">
        <f>((30*100)/240)+N20</f>
        <v>18.333333333333332</v>
      </c>
      <c r="P20" s="61">
        <f>((30*100)/240)*2+N20</f>
        <v>30.833333333333332</v>
      </c>
      <c r="Q20" s="61">
        <f>((30*100)/240)*3+N20</f>
        <v>43.333333333333336</v>
      </c>
      <c r="R20" s="61">
        <f>((30*100)/240)*4+N20</f>
        <v>55.833333333333336</v>
      </c>
      <c r="S20" s="61">
        <f>((30*100)/240)*5+N20</f>
        <v>68.333333333333329</v>
      </c>
      <c r="T20" s="61">
        <f>((30*100)/240)*6+N20</f>
        <v>80.833333333333329</v>
      </c>
      <c r="U20" s="61">
        <f>((30*100)/240)*7+N20</f>
        <v>93.333333333333329</v>
      </c>
      <c r="V20" s="59">
        <v>100</v>
      </c>
      <c r="W20" s="42"/>
      <c r="X20" s="42"/>
      <c r="Y20" s="42"/>
      <c r="Z20" s="42"/>
      <c r="IH20" s="19"/>
    </row>
    <row r="21" spans="1:242" s="24" customFormat="1" ht="57" thickBot="1" x14ac:dyDescent="0.3">
      <c r="A21" s="19" t="s">
        <v>92</v>
      </c>
      <c r="B21" s="29" t="s">
        <v>93</v>
      </c>
      <c r="C21" s="30" t="s">
        <v>100</v>
      </c>
      <c r="D21" s="31" t="s">
        <v>101</v>
      </c>
      <c r="E21" s="91" t="s">
        <v>102</v>
      </c>
      <c r="F21" s="32" t="s">
        <v>32</v>
      </c>
      <c r="G21" s="33">
        <v>45029</v>
      </c>
      <c r="H21" s="34">
        <v>45033</v>
      </c>
      <c r="I21" s="102">
        <v>45246</v>
      </c>
      <c r="J21" s="48" t="s">
        <v>134</v>
      </c>
      <c r="K21" s="109"/>
      <c r="L21" s="41"/>
      <c r="M21" s="19"/>
      <c r="N21" s="21">
        <f>14*100/210</f>
        <v>6.666666666666667</v>
      </c>
      <c r="O21" s="61">
        <f>((30*100)/210)+N21</f>
        <v>20.952380952380953</v>
      </c>
      <c r="P21" s="61">
        <f>((30*100)/210)*2+N21</f>
        <v>35.238095238095241</v>
      </c>
      <c r="Q21" s="61">
        <f>((30*100)/210)*3+N21</f>
        <v>49.523809523809526</v>
      </c>
      <c r="R21" s="61">
        <f>((30*100)/210)*4+N21</f>
        <v>63.80952380952381</v>
      </c>
      <c r="S21" s="61">
        <f>((30*100)/210)*5+N21</f>
        <v>78.095238095238102</v>
      </c>
      <c r="T21" s="61">
        <f>((30*100)/210)*6+N21</f>
        <v>92.380952380952394</v>
      </c>
      <c r="U21" s="59">
        <v>100</v>
      </c>
      <c r="V21" s="61"/>
      <c r="W21" s="42"/>
      <c r="X21" s="42"/>
      <c r="Y21" s="42"/>
      <c r="Z21" s="42"/>
      <c r="IH21" s="19"/>
    </row>
    <row r="22" spans="1:242" s="24" customFormat="1" ht="90.75" thickBot="1" x14ac:dyDescent="0.3">
      <c r="A22" s="19" t="s">
        <v>95</v>
      </c>
      <c r="B22" s="19" t="s">
        <v>94</v>
      </c>
      <c r="C22" s="8" t="s">
        <v>103</v>
      </c>
      <c r="D22" s="28" t="s">
        <v>104</v>
      </c>
      <c r="E22" s="89" t="s">
        <v>102</v>
      </c>
      <c r="F22" s="35" t="s">
        <v>32</v>
      </c>
      <c r="G22" s="23">
        <v>45034</v>
      </c>
      <c r="H22" s="27">
        <v>45035</v>
      </c>
      <c r="I22" s="100">
        <v>45248</v>
      </c>
      <c r="J22" s="48" t="s">
        <v>135</v>
      </c>
      <c r="K22" s="109"/>
      <c r="L22" s="41"/>
      <c r="M22" s="19"/>
      <c r="N22" s="21">
        <f>12*100/210</f>
        <v>5.7142857142857144</v>
      </c>
      <c r="O22" s="61">
        <f>((30*100)/210)+N22</f>
        <v>20</v>
      </c>
      <c r="P22" s="61">
        <f>((30*100)/210)*2+N22</f>
        <v>34.285714285714285</v>
      </c>
      <c r="Q22" s="61">
        <f>((30*100)/210)*3+N22</f>
        <v>48.571428571428577</v>
      </c>
      <c r="R22" s="61">
        <f>((30*100)/210)*4+N22</f>
        <v>62.857142857142861</v>
      </c>
      <c r="S22" s="61">
        <f>((30*100)/210)*5+N22</f>
        <v>77.142857142857139</v>
      </c>
      <c r="T22" s="61">
        <f>((30*100)/210)*6+N22</f>
        <v>91.428571428571431</v>
      </c>
      <c r="U22" s="59">
        <v>100</v>
      </c>
      <c r="V22" s="19"/>
      <c r="W22" s="42"/>
      <c r="X22" s="42"/>
      <c r="Y22" s="42"/>
      <c r="Z22" s="42"/>
      <c r="IH22" s="19"/>
    </row>
    <row r="23" spans="1:242" s="24" customFormat="1" ht="79.5" thickBot="1" x14ac:dyDescent="0.3">
      <c r="A23" s="19" t="s">
        <v>97</v>
      </c>
      <c r="B23" s="19" t="s">
        <v>96</v>
      </c>
      <c r="C23" s="8" t="s">
        <v>106</v>
      </c>
      <c r="D23" s="28" t="s">
        <v>105</v>
      </c>
      <c r="E23" s="89" t="s">
        <v>107</v>
      </c>
      <c r="F23" s="35" t="s">
        <v>77</v>
      </c>
      <c r="G23" s="23">
        <v>45043</v>
      </c>
      <c r="H23" s="27">
        <v>45044</v>
      </c>
      <c r="I23" s="100">
        <v>45226</v>
      </c>
      <c r="J23" s="48" t="s">
        <v>136</v>
      </c>
      <c r="K23" s="109"/>
      <c r="L23" s="41"/>
      <c r="M23" s="19"/>
      <c r="N23" s="21">
        <f>3*100/180</f>
        <v>1.6666666666666667</v>
      </c>
      <c r="O23" s="61">
        <f>((30*100)/180)+N23</f>
        <v>18.333333333333336</v>
      </c>
      <c r="P23" s="61">
        <f>((30*100)/180)*2+N23</f>
        <v>35</v>
      </c>
      <c r="Q23" s="61">
        <f>((30*100)/180)*3+N23</f>
        <v>51.666666666666664</v>
      </c>
      <c r="R23" s="61">
        <f>((30*100)/180)*4+N23</f>
        <v>68.333333333333343</v>
      </c>
      <c r="S23" s="61">
        <f>((30*100)/180)*5+N23</f>
        <v>85.000000000000014</v>
      </c>
      <c r="T23" s="59">
        <v>100</v>
      </c>
      <c r="U23" s="61"/>
      <c r="V23" s="19"/>
      <c r="W23" s="42"/>
      <c r="X23" s="42"/>
      <c r="Y23" s="42"/>
      <c r="Z23" s="42"/>
      <c r="IH23" s="19"/>
    </row>
    <row r="24" spans="1:242" s="24" customFormat="1" ht="68.25" thickBot="1" x14ac:dyDescent="0.3">
      <c r="A24" s="19" t="s">
        <v>99</v>
      </c>
      <c r="B24" s="19" t="s">
        <v>98</v>
      </c>
      <c r="C24" s="8" t="s">
        <v>109</v>
      </c>
      <c r="D24" s="28" t="s">
        <v>108</v>
      </c>
      <c r="E24" s="89" t="s">
        <v>110</v>
      </c>
      <c r="F24" s="8" t="s">
        <v>111</v>
      </c>
      <c r="G24" s="23">
        <v>45064</v>
      </c>
      <c r="H24" s="27">
        <v>45065</v>
      </c>
      <c r="I24" s="100">
        <v>45095</v>
      </c>
      <c r="J24" s="48" t="s">
        <v>137</v>
      </c>
      <c r="K24" s="109"/>
      <c r="L24" s="41"/>
      <c r="M24" s="19"/>
      <c r="N24" s="65"/>
      <c r="O24" s="58">
        <f>12*100/30</f>
        <v>40</v>
      </c>
      <c r="P24" s="59">
        <v>100</v>
      </c>
      <c r="Q24" s="60"/>
      <c r="R24" s="19"/>
      <c r="S24" s="19"/>
      <c r="T24" s="19"/>
      <c r="U24" s="19"/>
      <c r="V24" s="66"/>
      <c r="W24" s="42"/>
      <c r="X24" s="42"/>
      <c r="Y24" s="42"/>
      <c r="Z24" s="42"/>
      <c r="IH24" s="19"/>
    </row>
    <row r="25" spans="1:242" s="24" customFormat="1" ht="79.5" thickBot="1" x14ac:dyDescent="0.3">
      <c r="A25" s="19" t="s">
        <v>112</v>
      </c>
      <c r="B25" s="19" t="s">
        <v>113</v>
      </c>
      <c r="C25" s="8" t="s">
        <v>27</v>
      </c>
      <c r="D25" s="8" t="s">
        <v>28</v>
      </c>
      <c r="E25" s="86" t="s">
        <v>116</v>
      </c>
      <c r="F25" s="8" t="s">
        <v>32</v>
      </c>
      <c r="G25" s="23">
        <v>45078</v>
      </c>
      <c r="H25" s="22">
        <v>45078</v>
      </c>
      <c r="I25" s="100">
        <v>45291</v>
      </c>
      <c r="J25" s="48" t="s">
        <v>138</v>
      </c>
      <c r="K25" s="109"/>
      <c r="L25" s="41"/>
      <c r="M25" s="19"/>
      <c r="N25" s="19"/>
      <c r="O25" s="29"/>
      <c r="P25" s="62">
        <f>30*100/210</f>
        <v>14.285714285714286</v>
      </c>
      <c r="Q25" s="21">
        <f>(30*100/210)*2</f>
        <v>28.571428571428573</v>
      </c>
      <c r="R25" s="21">
        <f>(30*100/210)*3</f>
        <v>42.857142857142861</v>
      </c>
      <c r="S25" s="21">
        <f>(30*100/210)*4</f>
        <v>57.142857142857146</v>
      </c>
      <c r="T25" s="21">
        <f>(30*100/210)*5</f>
        <v>71.428571428571431</v>
      </c>
      <c r="U25" s="58">
        <f>(30*100/210)*6</f>
        <v>85.714285714285722</v>
      </c>
      <c r="V25" s="59">
        <f>(30*100/210)*7</f>
        <v>100</v>
      </c>
      <c r="W25" s="42"/>
      <c r="X25" s="42"/>
      <c r="Y25" s="42"/>
      <c r="Z25" s="42"/>
      <c r="IH25" s="19"/>
    </row>
    <row r="26" spans="1:242" s="24" customFormat="1" ht="96.75" customHeight="1" thickBot="1" x14ac:dyDescent="0.3">
      <c r="A26" s="36" t="s">
        <v>114</v>
      </c>
      <c r="B26" s="36" t="s">
        <v>115</v>
      </c>
      <c r="C26" s="37" t="s">
        <v>139</v>
      </c>
      <c r="D26" s="37" t="s">
        <v>140</v>
      </c>
      <c r="E26" s="92">
        <v>33000000</v>
      </c>
      <c r="F26" s="37" t="s">
        <v>141</v>
      </c>
      <c r="G26" s="38">
        <v>45121</v>
      </c>
      <c r="H26" s="39">
        <v>45122</v>
      </c>
      <c r="I26" s="103">
        <v>45289</v>
      </c>
      <c r="J26" s="48" t="s">
        <v>142</v>
      </c>
      <c r="K26" s="109"/>
      <c r="L26" s="41"/>
      <c r="M26" s="19"/>
      <c r="N26" s="19"/>
      <c r="O26" s="19"/>
      <c r="P26" s="19"/>
      <c r="Q26" s="61">
        <f>16*100/165</f>
        <v>9.6969696969696972</v>
      </c>
      <c r="R26" s="61">
        <f>(30*100/165)+Q26</f>
        <v>27.878787878787882</v>
      </c>
      <c r="S26" s="21">
        <f>(30*100/165)*2+Q26</f>
        <v>46.060606060606062</v>
      </c>
      <c r="T26" s="21">
        <f>(30*100/165)*3+Q26</f>
        <v>64.242424242424249</v>
      </c>
      <c r="U26" s="58">
        <f>(30*100/165)*4+Q26</f>
        <v>82.424242424242436</v>
      </c>
      <c r="V26" s="59">
        <v>100</v>
      </c>
      <c r="W26" s="42"/>
      <c r="X26" s="42"/>
      <c r="Y26" s="42"/>
      <c r="Z26" s="42"/>
      <c r="IH26" s="19"/>
    </row>
    <row r="27" spans="1:242" s="42" customFormat="1" ht="57" thickBot="1" x14ac:dyDescent="0.3">
      <c r="A27" s="9" t="s">
        <v>145</v>
      </c>
      <c r="B27" s="9" t="s">
        <v>146</v>
      </c>
      <c r="C27" s="28" t="s">
        <v>144</v>
      </c>
      <c r="D27" s="25" t="s">
        <v>150</v>
      </c>
      <c r="E27" s="92">
        <v>100000000</v>
      </c>
      <c r="F27" s="25" t="s">
        <v>111</v>
      </c>
      <c r="G27" s="26">
        <v>45134</v>
      </c>
      <c r="H27" s="40">
        <v>45134</v>
      </c>
      <c r="I27" s="104">
        <v>45164</v>
      </c>
      <c r="J27" s="48" t="s">
        <v>151</v>
      </c>
      <c r="K27" s="109"/>
      <c r="L27" s="41"/>
      <c r="M27" s="19"/>
      <c r="N27" s="19"/>
      <c r="O27" s="19"/>
      <c r="P27" s="65"/>
      <c r="Q27" s="58">
        <f>4*100/30</f>
        <v>13.333333333333334</v>
      </c>
      <c r="R27" s="59">
        <v>100</v>
      </c>
      <c r="S27" s="60"/>
      <c r="T27" s="19"/>
      <c r="U27" s="66"/>
      <c r="V27" s="29"/>
    </row>
    <row r="28" spans="1:242" s="42" customFormat="1" ht="68.25" thickBot="1" x14ac:dyDescent="0.3">
      <c r="A28" s="9" t="s">
        <v>147</v>
      </c>
      <c r="B28" s="9" t="s">
        <v>148</v>
      </c>
      <c r="C28" s="28" t="s">
        <v>182</v>
      </c>
      <c r="D28" s="25" t="s">
        <v>156</v>
      </c>
      <c r="E28" s="93">
        <v>154545455</v>
      </c>
      <c r="F28" s="25" t="s">
        <v>184</v>
      </c>
      <c r="G28" s="43">
        <v>45142</v>
      </c>
      <c r="H28" s="23">
        <v>45146</v>
      </c>
      <c r="I28" s="104">
        <v>45258</v>
      </c>
      <c r="J28" s="48" t="s">
        <v>159</v>
      </c>
      <c r="K28" s="109"/>
      <c r="L28" s="41"/>
      <c r="M28" s="19"/>
      <c r="N28" s="19"/>
      <c r="O28" s="19"/>
      <c r="P28" s="19"/>
      <c r="Q28" s="19"/>
      <c r="R28" s="62">
        <f>23*100/111</f>
        <v>20.72072072072072</v>
      </c>
      <c r="S28" s="61">
        <f>(30*100/111)+R28</f>
        <v>47.747747747747752</v>
      </c>
      <c r="T28" s="73">
        <f>(30*100/111)*2+R28</f>
        <v>74.774774774774784</v>
      </c>
      <c r="U28" s="59">
        <v>100</v>
      </c>
      <c r="V28" s="74"/>
    </row>
    <row r="29" spans="1:242" s="42" customFormat="1" ht="68.25" thickBot="1" x14ac:dyDescent="0.3">
      <c r="A29" s="9" t="s">
        <v>152</v>
      </c>
      <c r="B29" s="9" t="s">
        <v>149</v>
      </c>
      <c r="C29" s="28" t="s">
        <v>155</v>
      </c>
      <c r="D29" s="25" t="s">
        <v>168</v>
      </c>
      <c r="E29" s="13">
        <v>51347000</v>
      </c>
      <c r="F29" s="8" t="s">
        <v>169</v>
      </c>
      <c r="G29" s="23">
        <v>45146</v>
      </c>
      <c r="H29" s="23">
        <v>45146</v>
      </c>
      <c r="I29" s="101" t="s">
        <v>219</v>
      </c>
      <c r="J29" s="48" t="s">
        <v>164</v>
      </c>
      <c r="K29" s="109"/>
      <c r="L29" s="41"/>
      <c r="M29" s="19"/>
      <c r="N29" s="19"/>
      <c r="O29" s="19"/>
      <c r="P29" s="19"/>
      <c r="Q29" s="19"/>
      <c r="R29" s="61">
        <f>23*100/360</f>
        <v>6.3888888888888893</v>
      </c>
      <c r="S29" s="61">
        <f>(30*100/360)+R29</f>
        <v>14.722222222222223</v>
      </c>
      <c r="T29" s="61">
        <f>(30*100/360)*2+R29</f>
        <v>23.055555555555557</v>
      </c>
      <c r="U29" s="75">
        <f>(30*100/360)*3+R29</f>
        <v>31.388888888888889</v>
      </c>
      <c r="V29" s="61">
        <f>(30*100/360)*4+R29</f>
        <v>39.722222222222229</v>
      </c>
    </row>
    <row r="30" spans="1:242" s="42" customFormat="1" ht="79.5" thickBot="1" x14ac:dyDescent="0.3">
      <c r="A30" s="9" t="s">
        <v>160</v>
      </c>
      <c r="B30" s="9" t="s">
        <v>153</v>
      </c>
      <c r="C30" s="28" t="s">
        <v>154</v>
      </c>
      <c r="D30" s="8" t="s">
        <v>158</v>
      </c>
      <c r="E30" s="13">
        <v>20000000</v>
      </c>
      <c r="F30" s="8" t="s">
        <v>111</v>
      </c>
      <c r="G30" s="23">
        <v>45147</v>
      </c>
      <c r="H30" s="23">
        <v>45147</v>
      </c>
      <c r="I30" s="100">
        <v>45177</v>
      </c>
      <c r="J30" s="48" t="s">
        <v>157</v>
      </c>
      <c r="K30" s="109"/>
      <c r="L30" s="41"/>
      <c r="M30" s="19"/>
      <c r="N30" s="19"/>
      <c r="O30" s="19"/>
      <c r="P30" s="19"/>
      <c r="Q30" s="19"/>
      <c r="R30" s="73">
        <f>22*100/30</f>
        <v>73.333333333333329</v>
      </c>
      <c r="S30" s="59">
        <v>100</v>
      </c>
      <c r="T30" s="60"/>
      <c r="U30" s="19"/>
      <c r="V30" s="19"/>
    </row>
    <row r="31" spans="1:242" s="42" customFormat="1" ht="57" thickBot="1" x14ac:dyDescent="0.3">
      <c r="A31" s="9" t="s">
        <v>161</v>
      </c>
      <c r="B31" s="9" t="s">
        <v>162</v>
      </c>
      <c r="C31" s="28" t="s">
        <v>163</v>
      </c>
      <c r="D31" s="8" t="s">
        <v>166</v>
      </c>
      <c r="E31" s="13">
        <v>22833333</v>
      </c>
      <c r="F31" s="8" t="s">
        <v>167</v>
      </c>
      <c r="G31" s="23">
        <v>45153</v>
      </c>
      <c r="H31" s="23">
        <v>45153</v>
      </c>
      <c r="I31" s="100">
        <v>45291</v>
      </c>
      <c r="J31" s="48" t="s">
        <v>165</v>
      </c>
      <c r="K31" s="109"/>
      <c r="L31" s="41"/>
      <c r="M31" s="19"/>
      <c r="N31" s="19"/>
      <c r="O31" s="19"/>
      <c r="P31" s="19"/>
      <c r="Q31" s="19"/>
      <c r="R31" s="73">
        <f>16*100/137</f>
        <v>11.678832116788321</v>
      </c>
      <c r="S31" s="61">
        <f>(30*100/137)+R31</f>
        <v>33.576642335766422</v>
      </c>
      <c r="T31" s="61">
        <f>(30*100/137)*2+R31</f>
        <v>55.474452554744524</v>
      </c>
      <c r="U31" s="61">
        <f>(30*100/137)*3+R31</f>
        <v>77.372262773722639</v>
      </c>
      <c r="V31" s="59">
        <v>100</v>
      </c>
    </row>
    <row r="32" spans="1:242" s="42" customFormat="1" ht="102" thickBot="1" x14ac:dyDescent="0.3">
      <c r="A32" s="9" t="s">
        <v>170</v>
      </c>
      <c r="B32" s="9" t="s">
        <v>171</v>
      </c>
      <c r="C32" s="28" t="s">
        <v>9</v>
      </c>
      <c r="D32" s="8" t="s">
        <v>172</v>
      </c>
      <c r="E32" s="13">
        <v>7224398785</v>
      </c>
      <c r="F32" s="8" t="s">
        <v>173</v>
      </c>
      <c r="G32" s="23">
        <v>45175</v>
      </c>
      <c r="H32" s="23">
        <v>45175</v>
      </c>
      <c r="I32" s="100">
        <v>45275</v>
      </c>
      <c r="J32" s="48" t="s">
        <v>206</v>
      </c>
      <c r="K32" s="109"/>
      <c r="L32" s="41"/>
      <c r="M32" s="19"/>
      <c r="N32" s="19"/>
      <c r="O32" s="19"/>
      <c r="P32" s="19"/>
      <c r="Q32" s="19"/>
      <c r="R32" s="19"/>
      <c r="S32" s="73">
        <f>25*100/100</f>
        <v>25</v>
      </c>
      <c r="T32" s="61">
        <f>(30*100/100)+S32</f>
        <v>55</v>
      </c>
      <c r="U32" s="61">
        <f>(30*100/100)*2+S32</f>
        <v>85</v>
      </c>
      <c r="V32" s="59">
        <v>100</v>
      </c>
    </row>
    <row r="33" spans="1:242" s="12" customFormat="1" ht="104.25" customHeight="1" thickBot="1" x14ac:dyDescent="0.3">
      <c r="A33" s="44" t="s">
        <v>174</v>
      </c>
      <c r="B33" s="44" t="s">
        <v>175</v>
      </c>
      <c r="C33" s="45" t="s">
        <v>181</v>
      </c>
      <c r="D33" s="46" t="s">
        <v>180</v>
      </c>
      <c r="E33" s="13">
        <v>95000000</v>
      </c>
      <c r="F33" s="8" t="s">
        <v>183</v>
      </c>
      <c r="G33" s="23">
        <v>45188</v>
      </c>
      <c r="H33" s="23">
        <v>45189</v>
      </c>
      <c r="I33" s="100">
        <v>45218</v>
      </c>
      <c r="J33" s="49" t="s">
        <v>185</v>
      </c>
      <c r="K33" s="110"/>
      <c r="L33" s="14"/>
      <c r="M33" s="47"/>
      <c r="N33" s="47"/>
      <c r="O33" s="47"/>
      <c r="P33" s="47"/>
      <c r="Q33" s="47"/>
      <c r="R33" s="47"/>
      <c r="S33" s="73">
        <f>11*100/30</f>
        <v>36.666666666666664</v>
      </c>
      <c r="T33" s="59">
        <v>100</v>
      </c>
      <c r="U33" s="47"/>
      <c r="V33" s="47"/>
    </row>
    <row r="34" spans="1:242" s="12" customFormat="1" ht="68.25" thickBot="1" x14ac:dyDescent="0.25">
      <c r="A34" s="9" t="s">
        <v>176</v>
      </c>
      <c r="B34" s="10" t="s">
        <v>178</v>
      </c>
      <c r="C34" s="11" t="s">
        <v>186</v>
      </c>
      <c r="D34" s="7" t="s">
        <v>211</v>
      </c>
      <c r="E34" s="13">
        <v>300000000</v>
      </c>
      <c r="F34" s="7" t="s">
        <v>223</v>
      </c>
      <c r="G34" s="23">
        <v>45196</v>
      </c>
      <c r="H34" s="23">
        <v>45198</v>
      </c>
      <c r="I34" s="101" t="s">
        <v>221</v>
      </c>
      <c r="J34" s="112" t="s">
        <v>220</v>
      </c>
      <c r="K34" s="110"/>
      <c r="L34" s="14"/>
      <c r="M34" s="47"/>
      <c r="N34" s="47"/>
      <c r="O34" s="47"/>
      <c r="P34" s="47"/>
      <c r="Q34" s="47"/>
      <c r="R34" s="47"/>
      <c r="S34" s="73">
        <f>2*100/210</f>
        <v>0.95238095238095233</v>
      </c>
      <c r="T34" s="61">
        <f>(30*100/210)+S34</f>
        <v>15.238095238095239</v>
      </c>
      <c r="U34" s="61">
        <f>(30*100/210)*2+S34</f>
        <v>29.523809523809526</v>
      </c>
      <c r="V34" s="61">
        <f>(30*100/210)*3+S34</f>
        <v>43.80952380952381</v>
      </c>
    </row>
    <row r="35" spans="1:242" s="12" customFormat="1" ht="79.5" thickBot="1" x14ac:dyDescent="0.3">
      <c r="A35" s="9" t="s">
        <v>177</v>
      </c>
      <c r="B35" s="10" t="s">
        <v>179</v>
      </c>
      <c r="C35" s="11" t="s">
        <v>187</v>
      </c>
      <c r="D35" s="7" t="s">
        <v>210</v>
      </c>
      <c r="E35" s="13">
        <v>100000000</v>
      </c>
      <c r="F35" s="8" t="s">
        <v>183</v>
      </c>
      <c r="G35" s="23">
        <v>45211</v>
      </c>
      <c r="H35" s="23">
        <v>45215</v>
      </c>
      <c r="I35" s="100">
        <v>45245</v>
      </c>
      <c r="J35" s="49" t="s">
        <v>209</v>
      </c>
      <c r="K35" s="110"/>
      <c r="L35" s="14"/>
      <c r="M35" s="47"/>
      <c r="N35" s="47"/>
      <c r="O35" s="47"/>
      <c r="P35" s="47"/>
      <c r="Q35" s="47"/>
      <c r="R35" s="47"/>
      <c r="S35" s="47"/>
      <c r="T35" s="73">
        <f>15*100/30</f>
        <v>50</v>
      </c>
      <c r="U35" s="59">
        <v>100</v>
      </c>
      <c r="V35" s="47"/>
    </row>
    <row r="36" spans="1:242" s="24" customFormat="1" ht="57" thickBot="1" x14ac:dyDescent="0.3">
      <c r="A36" s="19" t="s">
        <v>188</v>
      </c>
      <c r="B36" s="19" t="s">
        <v>189</v>
      </c>
      <c r="C36" s="8" t="s">
        <v>100</v>
      </c>
      <c r="D36" s="28" t="s">
        <v>192</v>
      </c>
      <c r="E36" s="89" t="s">
        <v>193</v>
      </c>
      <c r="F36" s="8" t="s">
        <v>183</v>
      </c>
      <c r="G36" s="23">
        <v>45250</v>
      </c>
      <c r="H36" s="27">
        <v>45251</v>
      </c>
      <c r="I36" s="100">
        <v>45280</v>
      </c>
      <c r="J36" s="48" t="s">
        <v>194</v>
      </c>
      <c r="K36" s="109"/>
      <c r="L36" s="41"/>
      <c r="M36" s="19"/>
      <c r="N36" s="19"/>
      <c r="O36" s="19"/>
      <c r="P36" s="19"/>
      <c r="Q36" s="19"/>
      <c r="R36" s="19"/>
      <c r="S36" s="19"/>
      <c r="T36" s="19"/>
      <c r="U36" s="76">
        <f>10*100/30</f>
        <v>33.333333333333336</v>
      </c>
      <c r="V36" s="59">
        <v>100</v>
      </c>
      <c r="W36" s="42"/>
      <c r="X36" s="42"/>
      <c r="Y36" s="42"/>
      <c r="Z36" s="42"/>
      <c r="IH36" s="19"/>
    </row>
    <row r="37" spans="1:242" s="24" customFormat="1" ht="57" thickBot="1" x14ac:dyDescent="0.3">
      <c r="A37" s="19" t="s">
        <v>190</v>
      </c>
      <c r="B37" s="19" t="s">
        <v>191</v>
      </c>
      <c r="C37" s="8" t="s">
        <v>103</v>
      </c>
      <c r="D37" s="28" t="s">
        <v>208</v>
      </c>
      <c r="E37" s="86" t="s">
        <v>193</v>
      </c>
      <c r="F37" s="8" t="s">
        <v>183</v>
      </c>
      <c r="G37" s="23">
        <v>45250</v>
      </c>
      <c r="H37" s="27">
        <v>45251</v>
      </c>
      <c r="I37" s="100">
        <v>45280</v>
      </c>
      <c r="J37" s="48" t="s">
        <v>207</v>
      </c>
      <c r="K37" s="109"/>
      <c r="L37" s="41"/>
      <c r="M37" s="19"/>
      <c r="N37" s="19"/>
      <c r="O37" s="19"/>
      <c r="P37" s="19"/>
      <c r="Q37" s="19"/>
      <c r="R37" s="19"/>
      <c r="S37" s="19"/>
      <c r="T37" s="19"/>
      <c r="U37" s="58">
        <f>10*100/30</f>
        <v>33.333333333333336</v>
      </c>
      <c r="V37" s="59">
        <v>100</v>
      </c>
      <c r="W37" s="42"/>
      <c r="X37" s="42"/>
      <c r="Y37" s="42"/>
      <c r="Z37" s="42"/>
      <c r="IH37" s="19"/>
    </row>
    <row r="38" spans="1:242" x14ac:dyDescent="0.25">
      <c r="A38" s="50"/>
      <c r="B38" s="51"/>
      <c r="C38" s="52"/>
      <c r="D38" s="53"/>
      <c r="E38" s="54"/>
      <c r="F38" s="50"/>
      <c r="G38" s="77"/>
      <c r="H38" s="79"/>
      <c r="I38" s="81"/>
      <c r="J38" s="55"/>
      <c r="K38" s="53"/>
      <c r="L38" s="53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3"/>
      <c r="X38" s="53"/>
      <c r="Y38" s="53"/>
      <c r="Z38" s="53"/>
    </row>
    <row r="39" spans="1:242" x14ac:dyDescent="0.25">
      <c r="A39" s="50"/>
      <c r="B39" s="51"/>
      <c r="C39" s="52"/>
      <c r="D39" s="53"/>
      <c r="E39" s="54"/>
      <c r="F39" s="50"/>
      <c r="G39" s="77"/>
      <c r="H39" s="79"/>
      <c r="I39" s="81"/>
      <c r="J39" s="55"/>
      <c r="K39" s="53"/>
      <c r="L39" s="53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3"/>
      <c r="X39" s="53"/>
      <c r="Y39" s="53"/>
      <c r="Z39" s="53"/>
    </row>
    <row r="40" spans="1:242" x14ac:dyDescent="0.25">
      <c r="A40" s="50"/>
      <c r="B40" s="51"/>
      <c r="C40" s="52"/>
      <c r="D40" s="53"/>
      <c r="E40" s="54"/>
      <c r="F40" s="50"/>
      <c r="G40" s="77"/>
      <c r="H40" s="79"/>
      <c r="I40" s="81"/>
      <c r="J40" s="55"/>
      <c r="K40" s="53"/>
      <c r="L40" s="53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3"/>
      <c r="X40" s="53"/>
      <c r="Y40" s="53"/>
      <c r="Z40" s="53"/>
    </row>
    <row r="41" spans="1:242" x14ac:dyDescent="0.25">
      <c r="A41" s="50"/>
      <c r="B41" s="51"/>
      <c r="C41" s="52"/>
      <c r="D41" s="53"/>
      <c r="E41" s="54"/>
      <c r="F41" s="50"/>
      <c r="G41" s="77"/>
      <c r="H41" s="79"/>
      <c r="I41" s="81"/>
      <c r="J41" s="55"/>
      <c r="K41" s="53"/>
      <c r="L41" s="53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3"/>
      <c r="X41" s="53"/>
      <c r="Y41" s="53"/>
      <c r="Z41" s="53"/>
    </row>
    <row r="42" spans="1:242" x14ac:dyDescent="0.25">
      <c r="A42" s="50"/>
      <c r="B42" s="51"/>
      <c r="C42" s="52"/>
      <c r="D42" s="53"/>
      <c r="E42" s="54"/>
      <c r="F42" s="50"/>
      <c r="G42" s="77"/>
      <c r="H42" s="79"/>
      <c r="I42" s="81"/>
      <c r="J42" s="55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42" x14ac:dyDescent="0.25">
      <c r="A43" s="50"/>
      <c r="B43" s="51"/>
      <c r="C43" s="52"/>
      <c r="D43" s="53"/>
      <c r="E43" s="54"/>
      <c r="F43" s="50"/>
      <c r="G43" s="77"/>
      <c r="H43" s="79"/>
      <c r="I43" s="81"/>
      <c r="J43" s="55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42" x14ac:dyDescent="0.25">
      <c r="A44" s="50"/>
      <c r="B44" s="51"/>
      <c r="C44" s="52"/>
      <c r="D44" s="53"/>
      <c r="E44" s="54"/>
      <c r="F44" s="50"/>
      <c r="G44" s="77"/>
      <c r="H44" s="79"/>
      <c r="I44" s="81"/>
      <c r="J44" s="55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42" x14ac:dyDescent="0.25">
      <c r="A45" s="50"/>
      <c r="B45" s="51"/>
      <c r="C45" s="52"/>
      <c r="D45" s="53"/>
      <c r="E45" s="54"/>
      <c r="F45" s="50"/>
      <c r="G45" s="77"/>
      <c r="H45" s="79"/>
      <c r="I45" s="81"/>
      <c r="J45" s="55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42" x14ac:dyDescent="0.25">
      <c r="A46" s="50"/>
      <c r="B46" s="51"/>
      <c r="C46" s="52"/>
      <c r="D46" s="53"/>
      <c r="E46" s="54"/>
      <c r="F46" s="50"/>
      <c r="G46" s="77"/>
      <c r="H46" s="79"/>
      <c r="I46" s="81"/>
      <c r="J46" s="55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42" x14ac:dyDescent="0.25">
      <c r="A47" s="50"/>
      <c r="B47" s="51"/>
      <c r="C47" s="52"/>
      <c r="D47" s="53"/>
      <c r="E47" s="54"/>
      <c r="F47" s="50"/>
      <c r="G47" s="77"/>
      <c r="H47" s="79"/>
      <c r="I47" s="81"/>
      <c r="J47" s="55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42" x14ac:dyDescent="0.25">
      <c r="A48" s="50"/>
      <c r="B48" s="51"/>
      <c r="C48" s="52"/>
      <c r="D48" s="53"/>
      <c r="E48" s="54"/>
      <c r="F48" s="50"/>
      <c r="G48" s="77"/>
      <c r="H48" s="79"/>
      <c r="I48" s="81"/>
      <c r="J48" s="55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x14ac:dyDescent="0.25">
      <c r="A49" s="50"/>
      <c r="B49" s="51"/>
      <c r="C49" s="52"/>
      <c r="D49" s="53"/>
      <c r="E49" s="54"/>
      <c r="F49" s="50"/>
      <c r="G49" s="77"/>
      <c r="H49" s="79"/>
      <c r="I49" s="81"/>
      <c r="J49" s="55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x14ac:dyDescent="0.25">
      <c r="A50" s="50"/>
      <c r="B50" s="51"/>
      <c r="C50" s="52"/>
      <c r="D50" s="53"/>
      <c r="E50" s="54"/>
      <c r="F50" s="50"/>
      <c r="G50" s="77"/>
      <c r="H50" s="79"/>
      <c r="I50" s="81"/>
      <c r="J50" s="55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x14ac:dyDescent="0.25">
      <c r="A51" s="50"/>
      <c r="B51" s="51"/>
      <c r="C51" s="52"/>
      <c r="D51" s="53"/>
      <c r="E51" s="54"/>
      <c r="F51" s="50"/>
      <c r="G51" s="77"/>
      <c r="H51" s="79"/>
      <c r="I51" s="81"/>
      <c r="J51" s="55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x14ac:dyDescent="0.25">
      <c r="A52" s="50"/>
      <c r="B52" s="51"/>
      <c r="C52" s="52"/>
      <c r="D52" s="53"/>
      <c r="E52" s="54"/>
      <c r="F52" s="50"/>
      <c r="G52" s="77"/>
      <c r="H52" s="79"/>
      <c r="I52" s="81"/>
      <c r="J52" s="55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x14ac:dyDescent="0.25">
      <c r="A53" s="50"/>
      <c r="B53" s="51"/>
      <c r="C53" s="52"/>
      <c r="D53" s="53"/>
      <c r="E53" s="54"/>
      <c r="F53" s="50"/>
      <c r="G53" s="77"/>
      <c r="H53" s="79"/>
      <c r="I53" s="81"/>
      <c r="J53" s="55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x14ac:dyDescent="0.25">
      <c r="A54" s="50"/>
      <c r="B54" s="51"/>
      <c r="C54" s="52"/>
      <c r="D54" s="53"/>
      <c r="E54" s="54"/>
      <c r="F54" s="50"/>
      <c r="G54" s="77"/>
      <c r="H54" s="79"/>
      <c r="I54" s="81"/>
      <c r="J54" s="5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</sheetData>
  <mergeCells count="13">
    <mergeCell ref="K1:V1"/>
    <mergeCell ref="K2:V2"/>
    <mergeCell ref="A1:J1"/>
    <mergeCell ref="B2:B3"/>
    <mergeCell ref="D2:D3"/>
    <mergeCell ref="E2:E3"/>
    <mergeCell ref="A2:A3"/>
    <mergeCell ref="F2:F3"/>
    <mergeCell ref="G2:G3"/>
    <mergeCell ref="H2:H3"/>
    <mergeCell ref="J2:J3"/>
    <mergeCell ref="I2:I3"/>
    <mergeCell ref="C2:C3"/>
  </mergeCells>
  <phoneticPr fontId="10" type="noConversion"/>
  <hyperlinks>
    <hyperlink ref="A16" r:id="rId1" display="javascript:void(0);" xr:uid="{00000000-0004-0000-0000-000000000000}"/>
    <hyperlink ref="J4" r:id="rId2" xr:uid="{00000000-0004-0000-0000-000001000000}"/>
    <hyperlink ref="J5" r:id="rId3" xr:uid="{00000000-0004-0000-0000-000002000000}"/>
    <hyperlink ref="J6" r:id="rId4" xr:uid="{00000000-0004-0000-0000-000003000000}"/>
    <hyperlink ref="J7" r:id="rId5" xr:uid="{00000000-0004-0000-0000-000004000000}"/>
    <hyperlink ref="J8" r:id="rId6" xr:uid="{00000000-0004-0000-0000-000005000000}"/>
    <hyperlink ref="J9" r:id="rId7" xr:uid="{00000000-0004-0000-0000-000006000000}"/>
    <hyperlink ref="J10" r:id="rId8" xr:uid="{00000000-0004-0000-0000-000007000000}"/>
    <hyperlink ref="J11" r:id="rId9" xr:uid="{00000000-0004-0000-0000-000008000000}"/>
    <hyperlink ref="J12" r:id="rId10" xr:uid="{00000000-0004-0000-0000-000009000000}"/>
    <hyperlink ref="J13" r:id="rId11" xr:uid="{00000000-0004-0000-0000-00000A000000}"/>
    <hyperlink ref="J14" r:id="rId12" xr:uid="{00000000-0004-0000-0000-00000B000000}"/>
    <hyperlink ref="J15" r:id="rId13" xr:uid="{00000000-0004-0000-0000-00000C000000}"/>
    <hyperlink ref="J16" r:id="rId14" xr:uid="{00000000-0004-0000-0000-00000D000000}"/>
    <hyperlink ref="J17" r:id="rId15" xr:uid="{00000000-0004-0000-0000-00000E000000}"/>
    <hyperlink ref="J18" r:id="rId16" xr:uid="{00000000-0004-0000-0000-00000F000000}"/>
    <hyperlink ref="J19" r:id="rId17" xr:uid="{00000000-0004-0000-0000-000010000000}"/>
    <hyperlink ref="J20" r:id="rId18" xr:uid="{00000000-0004-0000-0000-000011000000}"/>
    <hyperlink ref="J21" r:id="rId19" xr:uid="{00000000-0004-0000-0000-000012000000}"/>
    <hyperlink ref="J22" r:id="rId20" xr:uid="{00000000-0004-0000-0000-000013000000}"/>
    <hyperlink ref="J23" r:id="rId21" xr:uid="{00000000-0004-0000-0000-000014000000}"/>
    <hyperlink ref="J24" r:id="rId22" xr:uid="{00000000-0004-0000-0000-000015000000}"/>
    <hyperlink ref="J25" r:id="rId23" xr:uid="{00000000-0004-0000-0000-000016000000}"/>
    <hyperlink ref="J26" r:id="rId24" xr:uid="{00000000-0004-0000-0000-000017000000}"/>
    <hyperlink ref="J27" r:id="rId25" xr:uid="{00000000-0004-0000-0000-000018000000}"/>
    <hyperlink ref="J30" r:id="rId26" xr:uid="{00000000-0004-0000-0000-000019000000}"/>
    <hyperlink ref="J28" r:id="rId27" xr:uid="{83B67197-7263-40A5-9FA6-7258B98CE857}"/>
    <hyperlink ref="J29" r:id="rId28" xr:uid="{A37E5963-A318-450A-B42E-F5A9F31BBEE9}"/>
    <hyperlink ref="J31" r:id="rId29" xr:uid="{A2EDFEC2-EDB1-4948-8E52-AA713D1FB47D}"/>
    <hyperlink ref="J32" r:id="rId30" xr:uid="{A9665AE1-ED8E-4AE4-AFEB-FC11185EB7C3}"/>
    <hyperlink ref="J37" r:id="rId31" xr:uid="{71EE250F-A897-4B3A-BEE6-11E20B39B978}"/>
    <hyperlink ref="J36" r:id="rId32" xr:uid="{FC245A62-6FE2-448B-840A-8FDD2A5ABCEF}"/>
    <hyperlink ref="J35" r:id="rId33" xr:uid="{E456D004-088B-4F0D-A337-8060B6B31186}"/>
    <hyperlink ref="J33" r:id="rId34" xr:uid="{9145BB97-90EB-409E-A94B-8CB62C228A46}"/>
    <hyperlink ref="J34" r:id="rId35" display="https://community.secop.gov.co/Public/Tendering/OpportunityDetail/Index?noticeUID=CO1.NTC.5002005&amp;isFromPublicArea=True&amp;isModal=False" xr:uid="{BD811024-2AB6-4764-916C-CC32771E2F34}"/>
  </hyperlinks>
  <pageMargins left="0.7" right="0.7" top="0.75" bottom="0.75" header="0.3" footer="0.3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CONTRATOS 2023</vt:lpstr>
      <vt:lpstr>'RELACION DE CONTRATOS 2023'!_Hlk140599183</vt:lpstr>
      <vt:lpstr>'RELACION DE CONTRATOS 2023'!incBuyerDossierDetaillnkRequestName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2023-05-29T18:52:08Z</dcterms:created>
  <dcterms:modified xsi:type="dcterms:W3CDTF">2024-03-18T12:59:07Z</dcterms:modified>
</cp:coreProperties>
</file>